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UB Shared Perm\Communications\Website\DrupalDocs\files\records_center\forms\"/>
    </mc:Choice>
  </mc:AlternateContent>
  <bookViews>
    <workbookView xWindow="0" yWindow="0" windowWidth="19200" windowHeight="11460" activeTab="1"/>
  </bookViews>
  <sheets>
    <sheet name="Inputs and Assumptions" sheetId="10" r:id="rId1"/>
    <sheet name="20Y Model" sheetId="11" r:id="rId2"/>
  </sheets>
  <definedNames>
    <definedName name="_xlnm.Print_Area" localSheetId="1">'20Y Model'!$A$1:$W$45</definedName>
    <definedName name="_xlnm.Print_Area" localSheetId="0">'Inputs and Assumptions'!$B$4:$D$31</definedName>
    <definedName name="solver_adj" localSheetId="0" hidden="1">'Inputs and Assumptions'!$D$22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'20Y Model'!$C$47</definedName>
    <definedName name="solver_opt" localSheetId="0" hidden="1">'Inputs and Assumptions'!$D$37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600000</definedName>
    <definedName name="solver_ver" localSheetId="1" hidden="1">3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B1" i="11" l="1"/>
  <c r="F80" i="10" l="1"/>
  <c r="G80" i="10" s="1"/>
  <c r="H80" i="10" s="1"/>
  <c r="I80" i="10" s="1"/>
  <c r="J80" i="10" s="1"/>
  <c r="K80" i="10" s="1"/>
  <c r="L80" i="10" s="1"/>
  <c r="M80" i="10" s="1"/>
  <c r="N80" i="10" s="1"/>
  <c r="O80" i="10" s="1"/>
  <c r="P80" i="10" s="1"/>
  <c r="Q80" i="10" s="1"/>
  <c r="R80" i="10" s="1"/>
  <c r="S80" i="10" s="1"/>
  <c r="T80" i="10" s="1"/>
  <c r="U80" i="10" s="1"/>
  <c r="V80" i="10" s="1"/>
  <c r="W80" i="10" s="1"/>
  <c r="X80" i="10" s="1"/>
  <c r="F73" i="10"/>
  <c r="G73" i="10" s="1"/>
  <c r="H73" i="10" s="1"/>
  <c r="I73" i="10" s="1"/>
  <c r="J73" i="10" s="1"/>
  <c r="K73" i="10" s="1"/>
  <c r="L73" i="10" s="1"/>
  <c r="M73" i="10" s="1"/>
  <c r="N73" i="10" s="1"/>
  <c r="O73" i="10" s="1"/>
  <c r="P73" i="10" s="1"/>
  <c r="Q73" i="10" s="1"/>
  <c r="R73" i="10" s="1"/>
  <c r="S73" i="10" s="1"/>
  <c r="T73" i="10" s="1"/>
  <c r="U73" i="10" s="1"/>
  <c r="V73" i="10" s="1"/>
  <c r="W73" i="10" s="1"/>
  <c r="X73" i="10" s="1"/>
  <c r="F66" i="10"/>
  <c r="G66" i="10" s="1"/>
  <c r="H66" i="10" s="1"/>
  <c r="I66" i="10" s="1"/>
  <c r="J66" i="10" s="1"/>
  <c r="K66" i="10" s="1"/>
  <c r="L66" i="10" s="1"/>
  <c r="M66" i="10" s="1"/>
  <c r="N66" i="10" s="1"/>
  <c r="O66" i="10" s="1"/>
  <c r="P66" i="10" s="1"/>
  <c r="Q66" i="10" s="1"/>
  <c r="R66" i="10" s="1"/>
  <c r="S66" i="10" s="1"/>
  <c r="T66" i="10" s="1"/>
  <c r="U66" i="10" s="1"/>
  <c r="V66" i="10" s="1"/>
  <c r="W66" i="10" s="1"/>
  <c r="X66" i="10" s="1"/>
  <c r="F59" i="10"/>
  <c r="H59" i="10" s="1"/>
  <c r="I59" i="10" s="1"/>
  <c r="J59" i="10" s="1"/>
  <c r="K59" i="10" s="1"/>
  <c r="L59" i="10" s="1"/>
  <c r="M59" i="10" s="1"/>
  <c r="N59" i="10" s="1"/>
  <c r="O59" i="10" s="1"/>
  <c r="P59" i="10" s="1"/>
  <c r="Q59" i="10" s="1"/>
  <c r="R59" i="10" s="1"/>
  <c r="S59" i="10" s="1"/>
  <c r="T59" i="10" s="1"/>
  <c r="U59" i="10" s="1"/>
  <c r="V59" i="10" s="1"/>
  <c r="W59" i="10" s="1"/>
  <c r="X59" i="10" s="1"/>
  <c r="F96" i="10" l="1"/>
  <c r="G96" i="10" s="1"/>
  <c r="H96" i="10" s="1"/>
  <c r="I96" i="10" s="1"/>
  <c r="J96" i="10" s="1"/>
  <c r="K96" i="10" s="1"/>
  <c r="L96" i="10" s="1"/>
  <c r="M96" i="10" s="1"/>
  <c r="N96" i="10" s="1"/>
  <c r="O96" i="10" s="1"/>
  <c r="P96" i="10" s="1"/>
  <c r="Q96" i="10" s="1"/>
  <c r="R96" i="10" s="1"/>
  <c r="S96" i="10" s="1"/>
  <c r="T96" i="10" s="1"/>
  <c r="U96" i="10" s="1"/>
  <c r="V96" i="10" s="1"/>
  <c r="W96" i="10" s="1"/>
  <c r="X96" i="10" s="1"/>
  <c r="F95" i="10"/>
  <c r="G95" i="10" s="1"/>
  <c r="H95" i="10" s="1"/>
  <c r="I95" i="10" s="1"/>
  <c r="J95" i="10" s="1"/>
  <c r="K95" i="10" s="1"/>
  <c r="L95" i="10" s="1"/>
  <c r="M95" i="10" s="1"/>
  <c r="N95" i="10" s="1"/>
  <c r="O95" i="10" s="1"/>
  <c r="P95" i="10" s="1"/>
  <c r="Q95" i="10" s="1"/>
  <c r="R95" i="10" s="1"/>
  <c r="S95" i="10" s="1"/>
  <c r="T95" i="10" s="1"/>
  <c r="U95" i="10" s="1"/>
  <c r="V95" i="10" s="1"/>
  <c r="W95" i="10" s="1"/>
  <c r="X95" i="10" s="1"/>
  <c r="F94" i="10"/>
  <c r="G94" i="10" s="1"/>
  <c r="H94" i="10" s="1"/>
  <c r="I94" i="10" s="1"/>
  <c r="J94" i="10" s="1"/>
  <c r="K94" i="10" s="1"/>
  <c r="L94" i="10" s="1"/>
  <c r="M94" i="10" s="1"/>
  <c r="N94" i="10" s="1"/>
  <c r="O94" i="10" s="1"/>
  <c r="P94" i="10" s="1"/>
  <c r="Q94" i="10" s="1"/>
  <c r="R94" i="10" s="1"/>
  <c r="S94" i="10" s="1"/>
  <c r="T94" i="10" s="1"/>
  <c r="U94" i="10" s="1"/>
  <c r="V94" i="10" s="1"/>
  <c r="W94" i="10" s="1"/>
  <c r="X94" i="10" s="1"/>
  <c r="F89" i="10"/>
  <c r="G89" i="10" s="1"/>
  <c r="H89" i="10" s="1"/>
  <c r="I89" i="10" s="1"/>
  <c r="J89" i="10" s="1"/>
  <c r="K89" i="10" s="1"/>
  <c r="L89" i="10" s="1"/>
  <c r="M89" i="10" s="1"/>
  <c r="N89" i="10" s="1"/>
  <c r="O89" i="10" s="1"/>
  <c r="P89" i="10" s="1"/>
  <c r="Q89" i="10" s="1"/>
  <c r="R89" i="10" s="1"/>
  <c r="S89" i="10" s="1"/>
  <c r="T89" i="10" s="1"/>
  <c r="U89" i="10" s="1"/>
  <c r="V89" i="10" s="1"/>
  <c r="W89" i="10" s="1"/>
  <c r="X89" i="10" s="1"/>
  <c r="F88" i="10"/>
  <c r="G88" i="10" s="1"/>
  <c r="H88" i="10" s="1"/>
  <c r="I88" i="10" s="1"/>
  <c r="J88" i="10" s="1"/>
  <c r="K88" i="10" s="1"/>
  <c r="L88" i="10" s="1"/>
  <c r="M88" i="10" s="1"/>
  <c r="N88" i="10" s="1"/>
  <c r="O88" i="10" s="1"/>
  <c r="P88" i="10" s="1"/>
  <c r="Q88" i="10" s="1"/>
  <c r="R88" i="10" s="1"/>
  <c r="S88" i="10" s="1"/>
  <c r="T88" i="10" s="1"/>
  <c r="U88" i="10" s="1"/>
  <c r="V88" i="10" s="1"/>
  <c r="W88" i="10" s="1"/>
  <c r="X88" i="10" s="1"/>
  <c r="F87" i="10"/>
  <c r="G87" i="10" s="1"/>
  <c r="H87" i="10" s="1"/>
  <c r="I87" i="10" s="1"/>
  <c r="J87" i="10" s="1"/>
  <c r="K87" i="10" s="1"/>
  <c r="L87" i="10" s="1"/>
  <c r="M87" i="10" s="1"/>
  <c r="N87" i="10" s="1"/>
  <c r="O87" i="10" s="1"/>
  <c r="P87" i="10" s="1"/>
  <c r="Q87" i="10" s="1"/>
  <c r="R87" i="10" s="1"/>
  <c r="S87" i="10" s="1"/>
  <c r="T87" i="10" s="1"/>
  <c r="U87" i="10" s="1"/>
  <c r="V87" i="10" s="1"/>
  <c r="W87" i="10" s="1"/>
  <c r="X87" i="10" s="1"/>
  <c r="F82" i="10"/>
  <c r="G82" i="10" s="1"/>
  <c r="H82" i="10" s="1"/>
  <c r="I82" i="10" s="1"/>
  <c r="J82" i="10" s="1"/>
  <c r="K82" i="10" s="1"/>
  <c r="L82" i="10" s="1"/>
  <c r="M82" i="10" s="1"/>
  <c r="N82" i="10" s="1"/>
  <c r="O82" i="10" s="1"/>
  <c r="P82" i="10" s="1"/>
  <c r="Q82" i="10" s="1"/>
  <c r="R82" i="10" s="1"/>
  <c r="S82" i="10" s="1"/>
  <c r="T82" i="10" s="1"/>
  <c r="U82" i="10" s="1"/>
  <c r="V82" i="10" s="1"/>
  <c r="W82" i="10" s="1"/>
  <c r="X82" i="10" s="1"/>
  <c r="F81" i="10"/>
  <c r="G81" i="10" s="1"/>
  <c r="H81" i="10" s="1"/>
  <c r="I81" i="10" s="1"/>
  <c r="J81" i="10" s="1"/>
  <c r="K81" i="10" s="1"/>
  <c r="L81" i="10" s="1"/>
  <c r="M81" i="10" s="1"/>
  <c r="N81" i="10" s="1"/>
  <c r="O81" i="10" s="1"/>
  <c r="P81" i="10" s="1"/>
  <c r="Q81" i="10" s="1"/>
  <c r="R81" i="10" s="1"/>
  <c r="S81" i="10" s="1"/>
  <c r="T81" i="10" s="1"/>
  <c r="U81" i="10" s="1"/>
  <c r="V81" i="10" s="1"/>
  <c r="W81" i="10" s="1"/>
  <c r="X81" i="10" s="1"/>
  <c r="F75" i="10"/>
  <c r="G75" i="10" s="1"/>
  <c r="H75" i="10" s="1"/>
  <c r="I75" i="10" s="1"/>
  <c r="J75" i="10" s="1"/>
  <c r="K75" i="10" s="1"/>
  <c r="L75" i="10" s="1"/>
  <c r="M75" i="10" s="1"/>
  <c r="N75" i="10" s="1"/>
  <c r="O75" i="10" s="1"/>
  <c r="P75" i="10" s="1"/>
  <c r="Q75" i="10" s="1"/>
  <c r="R75" i="10" s="1"/>
  <c r="S75" i="10" s="1"/>
  <c r="T75" i="10" s="1"/>
  <c r="U75" i="10" s="1"/>
  <c r="V75" i="10" s="1"/>
  <c r="W75" i="10" s="1"/>
  <c r="X75" i="10" s="1"/>
  <c r="F74" i="10"/>
  <c r="G74" i="10" s="1"/>
  <c r="H74" i="10" s="1"/>
  <c r="I74" i="10" s="1"/>
  <c r="J74" i="10" s="1"/>
  <c r="K74" i="10" s="1"/>
  <c r="L74" i="10" s="1"/>
  <c r="M74" i="10" s="1"/>
  <c r="N74" i="10" s="1"/>
  <c r="O74" i="10" s="1"/>
  <c r="P74" i="10" s="1"/>
  <c r="Q74" i="10" s="1"/>
  <c r="R74" i="10" s="1"/>
  <c r="S74" i="10" s="1"/>
  <c r="T74" i="10" s="1"/>
  <c r="U74" i="10" s="1"/>
  <c r="V74" i="10" s="1"/>
  <c r="W74" i="10" s="1"/>
  <c r="X74" i="10" s="1"/>
  <c r="F68" i="10"/>
  <c r="G68" i="10" s="1"/>
  <c r="H68" i="10" s="1"/>
  <c r="I68" i="10" s="1"/>
  <c r="J68" i="10" s="1"/>
  <c r="K68" i="10" s="1"/>
  <c r="L68" i="10" s="1"/>
  <c r="M68" i="10" s="1"/>
  <c r="N68" i="10" s="1"/>
  <c r="O68" i="10" s="1"/>
  <c r="P68" i="10" s="1"/>
  <c r="Q68" i="10" s="1"/>
  <c r="R68" i="10" s="1"/>
  <c r="S68" i="10" s="1"/>
  <c r="T68" i="10" s="1"/>
  <c r="U68" i="10" s="1"/>
  <c r="V68" i="10" s="1"/>
  <c r="W68" i="10" s="1"/>
  <c r="X68" i="10" s="1"/>
  <c r="F67" i="10"/>
  <c r="G67" i="10" s="1"/>
  <c r="H67" i="10" s="1"/>
  <c r="I67" i="10" s="1"/>
  <c r="J67" i="10" s="1"/>
  <c r="K67" i="10" s="1"/>
  <c r="L67" i="10" s="1"/>
  <c r="M67" i="10" s="1"/>
  <c r="N67" i="10" s="1"/>
  <c r="O67" i="10" s="1"/>
  <c r="P67" i="10" s="1"/>
  <c r="Q67" i="10" s="1"/>
  <c r="R67" i="10" s="1"/>
  <c r="S67" i="10" s="1"/>
  <c r="T67" i="10" s="1"/>
  <c r="U67" i="10" s="1"/>
  <c r="V67" i="10" s="1"/>
  <c r="W67" i="10" s="1"/>
  <c r="X67" i="10" s="1"/>
  <c r="D22" i="10"/>
  <c r="D24" i="10" s="1"/>
  <c r="F132" i="10" l="1"/>
  <c r="G132" i="10"/>
  <c r="H132" i="10"/>
  <c r="I132" i="10"/>
  <c r="J132" i="10"/>
  <c r="K132" i="10"/>
  <c r="L132" i="10"/>
  <c r="M132" i="10"/>
  <c r="N132" i="10"/>
  <c r="O132" i="10"/>
  <c r="P132" i="10"/>
  <c r="Q132" i="10"/>
  <c r="R132" i="10"/>
  <c r="S132" i="10"/>
  <c r="T132" i="10"/>
  <c r="U132" i="10"/>
  <c r="V132" i="10"/>
  <c r="W132" i="10"/>
  <c r="X132" i="10"/>
  <c r="E132" i="10"/>
  <c r="E115" i="10"/>
  <c r="F115" i="10" s="1"/>
  <c r="G115" i="10" s="1"/>
  <c r="H115" i="10" s="1"/>
  <c r="I115" i="10" s="1"/>
  <c r="J115" i="10" s="1"/>
  <c r="K115" i="10" s="1"/>
  <c r="L115" i="10" s="1"/>
  <c r="M115" i="10" s="1"/>
  <c r="N115" i="10" s="1"/>
  <c r="O115" i="10" s="1"/>
  <c r="P115" i="10" s="1"/>
  <c r="Q115" i="10" s="1"/>
  <c r="R115" i="10" s="1"/>
  <c r="S115" i="10" s="1"/>
  <c r="T115" i="10" s="1"/>
  <c r="U115" i="10" s="1"/>
  <c r="V115" i="10" s="1"/>
  <c r="W115" i="10" s="1"/>
  <c r="X115" i="10" s="1"/>
  <c r="E114" i="10"/>
  <c r="F114" i="10" s="1"/>
  <c r="G114" i="10" s="1"/>
  <c r="H114" i="10" s="1"/>
  <c r="I114" i="10" s="1"/>
  <c r="J114" i="10" s="1"/>
  <c r="K114" i="10" s="1"/>
  <c r="L114" i="10" s="1"/>
  <c r="M114" i="10" s="1"/>
  <c r="N114" i="10" s="1"/>
  <c r="O114" i="10" s="1"/>
  <c r="P114" i="10" s="1"/>
  <c r="Q114" i="10" s="1"/>
  <c r="R114" i="10" s="1"/>
  <c r="S114" i="10" s="1"/>
  <c r="T114" i="10" s="1"/>
  <c r="U114" i="10" s="1"/>
  <c r="V114" i="10" s="1"/>
  <c r="W114" i="10" s="1"/>
  <c r="X114" i="10" s="1"/>
  <c r="E116" i="10" l="1"/>
  <c r="F116" i="10" s="1"/>
  <c r="G116" i="10" s="1"/>
  <c r="H116" i="10" s="1"/>
  <c r="I116" i="10" s="1"/>
  <c r="J116" i="10" s="1"/>
  <c r="K116" i="10" s="1"/>
  <c r="L116" i="10" s="1"/>
  <c r="M116" i="10" s="1"/>
  <c r="N116" i="10" s="1"/>
  <c r="O116" i="10" s="1"/>
  <c r="P116" i="10" s="1"/>
  <c r="Q116" i="10" s="1"/>
  <c r="R116" i="10" s="1"/>
  <c r="S116" i="10" s="1"/>
  <c r="T116" i="10" s="1"/>
  <c r="U116" i="10" s="1"/>
  <c r="V116" i="10" s="1"/>
  <c r="W116" i="10" s="1"/>
  <c r="X116" i="10" s="1"/>
  <c r="E22" i="10"/>
  <c r="D8" i="10" l="1"/>
  <c r="E117" i="10" l="1"/>
  <c r="F117" i="10" s="1"/>
  <c r="G117" i="10" s="1"/>
  <c r="H117" i="10" s="1"/>
  <c r="I117" i="10" s="1"/>
  <c r="J117" i="10" s="1"/>
  <c r="K117" i="10" s="1"/>
  <c r="L117" i="10" s="1"/>
  <c r="M117" i="10" s="1"/>
  <c r="N117" i="10" s="1"/>
  <c r="O117" i="10" s="1"/>
  <c r="P117" i="10" s="1"/>
  <c r="Q117" i="10" s="1"/>
  <c r="R117" i="10" s="1"/>
  <c r="S117" i="10" s="1"/>
  <c r="T117" i="10" s="1"/>
  <c r="U117" i="10" s="1"/>
  <c r="V117" i="10" s="1"/>
  <c r="W117" i="10" s="1"/>
  <c r="X117" i="10" s="1"/>
  <c r="E118" i="10"/>
  <c r="F118" i="10" s="1"/>
  <c r="G118" i="10" s="1"/>
  <c r="H118" i="10" s="1"/>
  <c r="I118" i="10" s="1"/>
  <c r="J118" i="10" s="1"/>
  <c r="K118" i="10" s="1"/>
  <c r="L118" i="10" s="1"/>
  <c r="M118" i="10" s="1"/>
  <c r="N118" i="10" s="1"/>
  <c r="O118" i="10" s="1"/>
  <c r="P118" i="10" s="1"/>
  <c r="Q118" i="10" s="1"/>
  <c r="R118" i="10" s="1"/>
  <c r="S118" i="10" s="1"/>
  <c r="T118" i="10" s="1"/>
  <c r="U118" i="10" s="1"/>
  <c r="V118" i="10" s="1"/>
  <c r="W118" i="10" s="1"/>
  <c r="X118" i="10" s="1"/>
  <c r="E119" i="10"/>
  <c r="F119" i="10" s="1"/>
  <c r="G119" i="10" s="1"/>
  <c r="H119" i="10" s="1"/>
  <c r="I119" i="10" s="1"/>
  <c r="J119" i="10" s="1"/>
  <c r="K119" i="10" s="1"/>
  <c r="L119" i="10" s="1"/>
  <c r="M119" i="10" s="1"/>
  <c r="N119" i="10" s="1"/>
  <c r="O119" i="10" s="1"/>
  <c r="P119" i="10" s="1"/>
  <c r="Q119" i="10" s="1"/>
  <c r="R119" i="10" s="1"/>
  <c r="S119" i="10" s="1"/>
  <c r="T119" i="10" s="1"/>
  <c r="U119" i="10" s="1"/>
  <c r="V119" i="10" s="1"/>
  <c r="W119" i="10" s="1"/>
  <c r="X119" i="10" s="1"/>
  <c r="C40" i="11"/>
  <c r="D35" i="11"/>
  <c r="D34" i="11"/>
  <c r="D25" i="1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E36" i="10"/>
  <c r="E109" i="10"/>
  <c r="F109" i="10" s="1"/>
  <c r="G109" i="10" s="1"/>
  <c r="H109" i="10" s="1"/>
  <c r="I109" i="10" s="1"/>
  <c r="J109" i="10" s="1"/>
  <c r="K109" i="10" s="1"/>
  <c r="L109" i="10" s="1"/>
  <c r="M109" i="10" s="1"/>
  <c r="N109" i="10" s="1"/>
  <c r="O109" i="10" s="1"/>
  <c r="P109" i="10" s="1"/>
  <c r="Q109" i="10" s="1"/>
  <c r="R109" i="10" s="1"/>
  <c r="S109" i="10" s="1"/>
  <c r="T109" i="10" s="1"/>
  <c r="U109" i="10" s="1"/>
  <c r="V109" i="10" s="1"/>
  <c r="W109" i="10" s="1"/>
  <c r="X109" i="10" s="1"/>
  <c r="E110" i="10"/>
  <c r="F110" i="10" s="1"/>
  <c r="G110" i="10" s="1"/>
  <c r="H110" i="10" s="1"/>
  <c r="I110" i="10" s="1"/>
  <c r="J110" i="10" s="1"/>
  <c r="K110" i="10" s="1"/>
  <c r="L110" i="10" s="1"/>
  <c r="M110" i="10" s="1"/>
  <c r="N110" i="10" s="1"/>
  <c r="O110" i="10" s="1"/>
  <c r="P110" i="10" s="1"/>
  <c r="Q110" i="10" s="1"/>
  <c r="R110" i="10" s="1"/>
  <c r="S110" i="10" s="1"/>
  <c r="T110" i="10" s="1"/>
  <c r="U110" i="10" s="1"/>
  <c r="V110" i="10" s="1"/>
  <c r="W110" i="10" s="1"/>
  <c r="X110" i="10" s="1"/>
  <c r="G48" i="10" l="1"/>
  <c r="F48" i="10"/>
  <c r="E48" i="10"/>
  <c r="E108" i="10"/>
  <c r="F108" i="10" s="1"/>
  <c r="G108" i="10" s="1"/>
  <c r="H108" i="10" s="1"/>
  <c r="I108" i="10" s="1"/>
  <c r="J108" i="10" s="1"/>
  <c r="K108" i="10" s="1"/>
  <c r="L108" i="10" s="1"/>
  <c r="M108" i="10" s="1"/>
  <c r="N108" i="10" s="1"/>
  <c r="O108" i="10" s="1"/>
  <c r="P108" i="10" s="1"/>
  <c r="Q108" i="10" s="1"/>
  <c r="R108" i="10" s="1"/>
  <c r="S108" i="10" s="1"/>
  <c r="T108" i="10" s="1"/>
  <c r="U108" i="10" s="1"/>
  <c r="V108" i="10" s="1"/>
  <c r="W108" i="10" s="1"/>
  <c r="X108" i="10" s="1"/>
  <c r="E107" i="10"/>
  <c r="F107" i="10" s="1"/>
  <c r="G107" i="10" s="1"/>
  <c r="H107" i="10" s="1"/>
  <c r="I107" i="10" s="1"/>
  <c r="J107" i="10" s="1"/>
  <c r="K107" i="10" s="1"/>
  <c r="L107" i="10" s="1"/>
  <c r="M107" i="10" s="1"/>
  <c r="N107" i="10" s="1"/>
  <c r="O107" i="10" s="1"/>
  <c r="P107" i="10" s="1"/>
  <c r="Q107" i="10" s="1"/>
  <c r="R107" i="10" s="1"/>
  <c r="S107" i="10" s="1"/>
  <c r="T107" i="10" s="1"/>
  <c r="U107" i="10" s="1"/>
  <c r="V107" i="10" s="1"/>
  <c r="W107" i="10" s="1"/>
  <c r="X107" i="10" s="1"/>
  <c r="E106" i="10"/>
  <c r="F106" i="10" s="1"/>
  <c r="G106" i="10" s="1"/>
  <c r="H106" i="10" s="1"/>
  <c r="I106" i="10" s="1"/>
  <c r="J106" i="10" s="1"/>
  <c r="K106" i="10" s="1"/>
  <c r="L106" i="10" s="1"/>
  <c r="M106" i="10" s="1"/>
  <c r="N106" i="10" s="1"/>
  <c r="O106" i="10" s="1"/>
  <c r="P106" i="10" s="1"/>
  <c r="Q106" i="10" s="1"/>
  <c r="R106" i="10" s="1"/>
  <c r="S106" i="10" s="1"/>
  <c r="T106" i="10" s="1"/>
  <c r="U106" i="10" s="1"/>
  <c r="V106" i="10" s="1"/>
  <c r="W106" i="10" s="1"/>
  <c r="X106" i="10" s="1"/>
  <c r="E105" i="10"/>
  <c r="F105" i="10" s="1"/>
  <c r="G105" i="10" s="1"/>
  <c r="H105" i="10" s="1"/>
  <c r="I105" i="10" s="1"/>
  <c r="J105" i="10" s="1"/>
  <c r="K105" i="10" s="1"/>
  <c r="L105" i="10" s="1"/>
  <c r="M105" i="10" s="1"/>
  <c r="N105" i="10" s="1"/>
  <c r="O105" i="10" s="1"/>
  <c r="P105" i="10" s="1"/>
  <c r="Q105" i="10" s="1"/>
  <c r="R105" i="10" s="1"/>
  <c r="S105" i="10" s="1"/>
  <c r="T105" i="10" s="1"/>
  <c r="U105" i="10" s="1"/>
  <c r="V105" i="10" s="1"/>
  <c r="W105" i="10" s="1"/>
  <c r="X105" i="10" s="1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E91" i="10" s="1"/>
  <c r="X83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E84" i="10" s="1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E77" i="10" s="1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E70" i="10" s="1"/>
  <c r="F61" i="10"/>
  <c r="G61" i="10" s="1"/>
  <c r="H61" i="10" s="1"/>
  <c r="I61" i="10" s="1"/>
  <c r="J61" i="10" s="1"/>
  <c r="K61" i="10" s="1"/>
  <c r="L61" i="10" s="1"/>
  <c r="M61" i="10" s="1"/>
  <c r="N61" i="10" s="1"/>
  <c r="O61" i="10" s="1"/>
  <c r="P61" i="10" s="1"/>
  <c r="Q61" i="10" s="1"/>
  <c r="R61" i="10" s="1"/>
  <c r="S61" i="10" s="1"/>
  <c r="T61" i="10" s="1"/>
  <c r="U61" i="10" s="1"/>
  <c r="V61" i="10" s="1"/>
  <c r="W61" i="10" s="1"/>
  <c r="X61" i="10" s="1"/>
  <c r="F60" i="10"/>
  <c r="G60" i="10" s="1"/>
  <c r="E62" i="10"/>
  <c r="F62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5" i="10"/>
  <c r="D38" i="10"/>
  <c r="D37" i="10"/>
  <c r="F35" i="10" l="1"/>
  <c r="G35" i="10" s="1"/>
  <c r="E63" i="10"/>
  <c r="E121" i="10"/>
  <c r="E112" i="10"/>
  <c r="F121" i="10"/>
  <c r="H48" i="10"/>
  <c r="E98" i="10"/>
  <c r="E100" i="10"/>
  <c r="F112" i="10"/>
  <c r="F100" i="10"/>
  <c r="G98" i="10"/>
  <c r="F40" i="10"/>
  <c r="J39" i="10"/>
  <c r="N40" i="10"/>
  <c r="R40" i="10"/>
  <c r="V40" i="10"/>
  <c r="F84" i="10"/>
  <c r="E40" i="10"/>
  <c r="I40" i="10"/>
  <c r="M40" i="10"/>
  <c r="Q40" i="10"/>
  <c r="U39" i="10"/>
  <c r="G77" i="10"/>
  <c r="H98" i="10"/>
  <c r="X40" i="10"/>
  <c r="F98" i="10"/>
  <c r="E39" i="10"/>
  <c r="M39" i="10"/>
  <c r="Q39" i="10"/>
  <c r="U40" i="10"/>
  <c r="I70" i="10"/>
  <c r="F39" i="10"/>
  <c r="N39" i="10"/>
  <c r="V39" i="10"/>
  <c r="J40" i="10"/>
  <c r="G39" i="10"/>
  <c r="K39" i="10"/>
  <c r="O39" i="10"/>
  <c r="S39" i="10"/>
  <c r="W39" i="10"/>
  <c r="G40" i="10"/>
  <c r="K40" i="10"/>
  <c r="O40" i="10"/>
  <c r="S40" i="10"/>
  <c r="W40" i="10"/>
  <c r="H60" i="10"/>
  <c r="F70" i="10"/>
  <c r="G84" i="10"/>
  <c r="I39" i="10"/>
  <c r="F63" i="10"/>
  <c r="R39" i="10"/>
  <c r="H39" i="10"/>
  <c r="L39" i="10"/>
  <c r="P39" i="10"/>
  <c r="T39" i="10"/>
  <c r="X39" i="10"/>
  <c r="H40" i="10"/>
  <c r="L40" i="10"/>
  <c r="P40" i="10"/>
  <c r="T40" i="10"/>
  <c r="E42" i="10"/>
  <c r="H70" i="10"/>
  <c r="G70" i="10"/>
  <c r="H84" i="10"/>
  <c r="F91" i="10"/>
  <c r="F77" i="10"/>
  <c r="H35" i="10" l="1"/>
  <c r="F42" i="10"/>
  <c r="E16" i="11" s="1"/>
  <c r="E101" i="10"/>
  <c r="D15" i="11" s="1"/>
  <c r="F134" i="10"/>
  <c r="E17" i="11" s="1"/>
  <c r="E134" i="10"/>
  <c r="D17" i="11" s="1"/>
  <c r="D12" i="11"/>
  <c r="D18" i="11" s="1"/>
  <c r="E12" i="11"/>
  <c r="E18" i="11" s="1"/>
  <c r="D16" i="11"/>
  <c r="G112" i="10"/>
  <c r="H77" i="10"/>
  <c r="F41" i="10"/>
  <c r="R41" i="10"/>
  <c r="V41" i="10"/>
  <c r="H62" i="10"/>
  <c r="H121" i="10" s="1"/>
  <c r="H42" i="10"/>
  <c r="N41" i="10"/>
  <c r="F101" i="10"/>
  <c r="E15" i="11" s="1"/>
  <c r="E41" i="10"/>
  <c r="E44" i="10" s="1"/>
  <c r="G42" i="10"/>
  <c r="Q41" i="10"/>
  <c r="I41" i="10"/>
  <c r="M41" i="10"/>
  <c r="G62" i="10"/>
  <c r="G121" i="10" s="1"/>
  <c r="T41" i="10"/>
  <c r="P41" i="10"/>
  <c r="X41" i="10"/>
  <c r="S41" i="10"/>
  <c r="L41" i="10"/>
  <c r="O41" i="10"/>
  <c r="I84" i="10"/>
  <c r="H41" i="10"/>
  <c r="K41" i="10"/>
  <c r="J70" i="10"/>
  <c r="G91" i="10"/>
  <c r="I62" i="10"/>
  <c r="I77" i="10"/>
  <c r="I60" i="10"/>
  <c r="W41" i="10"/>
  <c r="G41" i="10"/>
  <c r="J41" i="10"/>
  <c r="U41" i="10"/>
  <c r="F44" i="10" l="1"/>
  <c r="E8" i="11" s="1"/>
  <c r="I35" i="10"/>
  <c r="E13" i="11"/>
  <c r="G134" i="10"/>
  <c r="F17" i="11" s="1"/>
  <c r="I100" i="10"/>
  <c r="H12" i="11" s="1"/>
  <c r="H18" i="11" s="1"/>
  <c r="I121" i="10"/>
  <c r="D13" i="11"/>
  <c r="F16" i="11"/>
  <c r="D8" i="11"/>
  <c r="D33" i="11" s="1"/>
  <c r="G16" i="11"/>
  <c r="E32" i="11"/>
  <c r="E19" i="11"/>
  <c r="E20" i="11" s="1"/>
  <c r="D32" i="11"/>
  <c r="D6" i="11"/>
  <c r="D19" i="11"/>
  <c r="D20" i="11" s="1"/>
  <c r="H44" i="10"/>
  <c r="H63" i="10"/>
  <c r="H100" i="10"/>
  <c r="G63" i="10"/>
  <c r="G101" i="10" s="1"/>
  <c r="F15" i="11" s="1"/>
  <c r="G100" i="10"/>
  <c r="H112" i="10"/>
  <c r="H134" i="10" s="1"/>
  <c r="I98" i="10"/>
  <c r="G44" i="10"/>
  <c r="H91" i="10"/>
  <c r="J60" i="10"/>
  <c r="I63" i="10"/>
  <c r="J98" i="10"/>
  <c r="J77" i="10"/>
  <c r="J62" i="10"/>
  <c r="K70" i="10"/>
  <c r="J84" i="10"/>
  <c r="J35" i="10" l="1"/>
  <c r="I42" i="10"/>
  <c r="J100" i="10"/>
  <c r="I12" i="11" s="1"/>
  <c r="I18" i="11" s="1"/>
  <c r="J121" i="10"/>
  <c r="H101" i="10"/>
  <c r="G15" i="11" s="1"/>
  <c r="F12" i="11"/>
  <c r="F18" i="11" s="1"/>
  <c r="F19" i="11" s="1"/>
  <c r="F20" i="11" s="1"/>
  <c r="G12" i="11"/>
  <c r="G18" i="11" s="1"/>
  <c r="E33" i="11"/>
  <c r="F8" i="11"/>
  <c r="F33" i="11" s="1"/>
  <c r="G32" i="11"/>
  <c r="G8" i="11"/>
  <c r="D7" i="11"/>
  <c r="D9" i="11" s="1"/>
  <c r="D10" i="11" s="1"/>
  <c r="D21" i="11" s="1"/>
  <c r="E6" i="11"/>
  <c r="F32" i="11"/>
  <c r="G17" i="11"/>
  <c r="I112" i="10"/>
  <c r="I134" i="10" s="1"/>
  <c r="K62" i="10"/>
  <c r="K84" i="10"/>
  <c r="K77" i="10"/>
  <c r="L70" i="10"/>
  <c r="K98" i="10"/>
  <c r="I91" i="10"/>
  <c r="I101" i="10" s="1"/>
  <c r="H15" i="11" s="1"/>
  <c r="H13" i="11" s="1"/>
  <c r="J63" i="10"/>
  <c r="K60" i="10"/>
  <c r="H16" i="11" l="1"/>
  <c r="H32" i="11" s="1"/>
  <c r="I44" i="10"/>
  <c r="H8" i="11" s="1"/>
  <c r="H33" i="11" s="1"/>
  <c r="K35" i="10"/>
  <c r="K42" i="10" s="1"/>
  <c r="J16" i="11" s="1"/>
  <c r="J42" i="10"/>
  <c r="K100" i="10"/>
  <c r="J12" i="11" s="1"/>
  <c r="J18" i="11" s="1"/>
  <c r="K121" i="10"/>
  <c r="D22" i="11"/>
  <c r="D23" i="11" s="1"/>
  <c r="D24" i="11" s="1"/>
  <c r="G13" i="11"/>
  <c r="G19" i="11"/>
  <c r="G20" i="11" s="1"/>
  <c r="F13" i="11"/>
  <c r="G33" i="11"/>
  <c r="E7" i="11"/>
  <c r="E9" i="11" s="1"/>
  <c r="E10" i="11" s="1"/>
  <c r="E21" i="11" s="1"/>
  <c r="E22" i="11" s="1"/>
  <c r="E23" i="11" s="1"/>
  <c r="E24" i="11" s="1"/>
  <c r="F6" i="11"/>
  <c r="H17" i="11"/>
  <c r="J112" i="10"/>
  <c r="J134" i="10" s="1"/>
  <c r="L77" i="10"/>
  <c r="K63" i="10"/>
  <c r="L60" i="10"/>
  <c r="L84" i="10"/>
  <c r="L62" i="10"/>
  <c r="J91" i="10"/>
  <c r="J101" i="10" s="1"/>
  <c r="I15" i="11" s="1"/>
  <c r="I13" i="11" s="1"/>
  <c r="M70" i="10"/>
  <c r="L98" i="10"/>
  <c r="H19" i="11" l="1"/>
  <c r="H20" i="11" s="1"/>
  <c r="K44" i="10"/>
  <c r="L35" i="10"/>
  <c r="L42" i="10" s="1"/>
  <c r="K16" i="11" s="1"/>
  <c r="J44" i="10"/>
  <c r="I8" i="11" s="1"/>
  <c r="I33" i="11" s="1"/>
  <c r="I16" i="11"/>
  <c r="I32" i="11" s="1"/>
  <c r="L100" i="10"/>
  <c r="K12" i="11" s="1"/>
  <c r="K18" i="11" s="1"/>
  <c r="L121" i="10"/>
  <c r="D31" i="11"/>
  <c r="D38" i="11" s="1"/>
  <c r="D28" i="11"/>
  <c r="D29" i="11"/>
  <c r="D26" i="11"/>
  <c r="J32" i="11"/>
  <c r="E31" i="11"/>
  <c r="E38" i="11" s="1"/>
  <c r="E29" i="11"/>
  <c r="E26" i="11"/>
  <c r="E28" i="11"/>
  <c r="F7" i="11"/>
  <c r="F9" i="11" s="1"/>
  <c r="F10" i="11" s="1"/>
  <c r="F21" i="11" s="1"/>
  <c r="F22" i="11" s="1"/>
  <c r="F23" i="11" s="1"/>
  <c r="F24" i="11" s="1"/>
  <c r="G6" i="11"/>
  <c r="I17" i="11"/>
  <c r="K112" i="10"/>
  <c r="K134" i="10" s="1"/>
  <c r="K91" i="10"/>
  <c r="K101" i="10" s="1"/>
  <c r="J15" i="11" s="1"/>
  <c r="J13" i="11" s="1"/>
  <c r="M62" i="10"/>
  <c r="M60" i="10"/>
  <c r="L63" i="10"/>
  <c r="M98" i="10"/>
  <c r="N70" i="10"/>
  <c r="M84" i="10"/>
  <c r="M77" i="10"/>
  <c r="J8" i="11" l="1"/>
  <c r="J33" i="11" s="1"/>
  <c r="L44" i="10"/>
  <c r="K8" i="11" s="1"/>
  <c r="M35" i="10"/>
  <c r="M42" i="10" s="1"/>
  <c r="M44" i="10" s="1"/>
  <c r="I19" i="11"/>
  <c r="I20" i="11" s="1"/>
  <c r="M100" i="10"/>
  <c r="L12" i="11" s="1"/>
  <c r="L18" i="11" s="1"/>
  <c r="M121" i="10"/>
  <c r="H6" i="11"/>
  <c r="G7" i="11"/>
  <c r="G9" i="11" s="1"/>
  <c r="G10" i="11" s="1"/>
  <c r="G21" i="11" s="1"/>
  <c r="G22" i="11" s="1"/>
  <c r="G23" i="11" s="1"/>
  <c r="G24" i="11" s="1"/>
  <c r="K32" i="11"/>
  <c r="F31" i="11"/>
  <c r="F38" i="11" s="1"/>
  <c r="F29" i="11"/>
  <c r="F28" i="11"/>
  <c r="F26" i="11"/>
  <c r="J17" i="11"/>
  <c r="J19" i="11" s="1"/>
  <c r="J20" i="11" s="1"/>
  <c r="L112" i="10"/>
  <c r="L134" i="10" s="1"/>
  <c r="N84" i="10"/>
  <c r="O70" i="10"/>
  <c r="N98" i="10"/>
  <c r="N60" i="10"/>
  <c r="M63" i="10"/>
  <c r="N77" i="10"/>
  <c r="N62" i="10"/>
  <c r="L91" i="10"/>
  <c r="L101" i="10" s="1"/>
  <c r="K15" i="11" s="1"/>
  <c r="K13" i="11" s="1"/>
  <c r="L16" i="11" l="1"/>
  <c r="L32" i="11" s="1"/>
  <c r="K33" i="11"/>
  <c r="N35" i="10"/>
  <c r="N100" i="10"/>
  <c r="M12" i="11" s="1"/>
  <c r="M18" i="11" s="1"/>
  <c r="N121" i="10"/>
  <c r="G29" i="11"/>
  <c r="G26" i="11"/>
  <c r="G31" i="11"/>
  <c r="G38" i="11" s="1"/>
  <c r="G28" i="11"/>
  <c r="L8" i="11"/>
  <c r="L33" i="11" s="1"/>
  <c r="H7" i="11"/>
  <c r="H9" i="11" s="1"/>
  <c r="H10" i="11" s="1"/>
  <c r="H21" i="11" s="1"/>
  <c r="H22" i="11" s="1"/>
  <c r="H23" i="11" s="1"/>
  <c r="H24" i="11" s="1"/>
  <c r="I6" i="11"/>
  <c r="K17" i="11"/>
  <c r="K19" i="11" s="1"/>
  <c r="K20" i="11" s="1"/>
  <c r="M112" i="10"/>
  <c r="M134" i="10" s="1"/>
  <c r="O62" i="10"/>
  <c r="N63" i="10"/>
  <c r="O60" i="10"/>
  <c r="O84" i="10"/>
  <c r="O98" i="10"/>
  <c r="P70" i="10"/>
  <c r="M91" i="10"/>
  <c r="M101" i="10" s="1"/>
  <c r="L15" i="11" s="1"/>
  <c r="L13" i="11" s="1"/>
  <c r="O77" i="10"/>
  <c r="O35" i="10" l="1"/>
  <c r="N42" i="10"/>
  <c r="O100" i="10"/>
  <c r="N12" i="11" s="1"/>
  <c r="N18" i="11" s="1"/>
  <c r="O121" i="10"/>
  <c r="I7" i="11"/>
  <c r="I9" i="11" s="1"/>
  <c r="I10" i="11" s="1"/>
  <c r="I21" i="11" s="1"/>
  <c r="I22" i="11" s="1"/>
  <c r="I23" i="11" s="1"/>
  <c r="I24" i="11" s="1"/>
  <c r="J6" i="11"/>
  <c r="H26" i="11"/>
  <c r="H31" i="11"/>
  <c r="H38" i="11" s="1"/>
  <c r="H28" i="11"/>
  <c r="H29" i="11"/>
  <c r="L17" i="11"/>
  <c r="L19" i="11" s="1"/>
  <c r="L20" i="11" s="1"/>
  <c r="N112" i="10"/>
  <c r="N134" i="10" s="1"/>
  <c r="P98" i="10"/>
  <c r="O63" i="10"/>
  <c r="P60" i="10"/>
  <c r="P77" i="10"/>
  <c r="Q70" i="10"/>
  <c r="P84" i="10"/>
  <c r="N91" i="10"/>
  <c r="N101" i="10" s="1"/>
  <c r="M15" i="11" s="1"/>
  <c r="M13" i="11" s="1"/>
  <c r="P62" i="10"/>
  <c r="M16" i="11" l="1"/>
  <c r="M32" i="11" s="1"/>
  <c r="N44" i="10"/>
  <c r="M8" i="11" s="1"/>
  <c r="M33" i="11" s="1"/>
  <c r="P35" i="10"/>
  <c r="O42" i="10"/>
  <c r="P100" i="10"/>
  <c r="O12" i="11" s="1"/>
  <c r="O18" i="11" s="1"/>
  <c r="P121" i="10"/>
  <c r="I31" i="11"/>
  <c r="I38" i="11" s="1"/>
  <c r="I29" i="11"/>
  <c r="I28" i="11"/>
  <c r="I26" i="11"/>
  <c r="K6" i="11"/>
  <c r="J7" i="11"/>
  <c r="J9" i="11" s="1"/>
  <c r="J10" i="11" s="1"/>
  <c r="J21" i="11" s="1"/>
  <c r="J22" i="11" s="1"/>
  <c r="J23" i="11" s="1"/>
  <c r="J24" i="11" s="1"/>
  <c r="M17" i="11"/>
  <c r="O112" i="10"/>
  <c r="O134" i="10" s="1"/>
  <c r="R70" i="10"/>
  <c r="Q60" i="10"/>
  <c r="P63" i="10"/>
  <c r="Q62" i="10"/>
  <c r="O91" i="10"/>
  <c r="O101" i="10" s="1"/>
  <c r="N15" i="11" s="1"/>
  <c r="N13" i="11" s="1"/>
  <c r="Q84" i="10"/>
  <c r="Q77" i="10"/>
  <c r="Q98" i="10"/>
  <c r="M19" i="11" l="1"/>
  <c r="M20" i="11" s="1"/>
  <c r="Q35" i="10"/>
  <c r="P42" i="10"/>
  <c r="O44" i="10"/>
  <c r="N8" i="11" s="1"/>
  <c r="N33" i="11" s="1"/>
  <c r="N16" i="11"/>
  <c r="N32" i="11" s="1"/>
  <c r="Q100" i="10"/>
  <c r="P12" i="11" s="1"/>
  <c r="P18" i="11" s="1"/>
  <c r="Q121" i="10"/>
  <c r="J31" i="11"/>
  <c r="J38" i="11" s="1"/>
  <c r="J29" i="11"/>
  <c r="J28" i="11"/>
  <c r="J26" i="11"/>
  <c r="L6" i="11"/>
  <c r="K7" i="11"/>
  <c r="K9" i="11" s="1"/>
  <c r="K10" i="11" s="1"/>
  <c r="K21" i="11" s="1"/>
  <c r="K22" i="11" s="1"/>
  <c r="K23" i="11" s="1"/>
  <c r="K24" i="11" s="1"/>
  <c r="N17" i="11"/>
  <c r="P112" i="10"/>
  <c r="P134" i="10" s="1"/>
  <c r="R77" i="10"/>
  <c r="P91" i="10"/>
  <c r="P101" i="10" s="1"/>
  <c r="O15" i="11" s="1"/>
  <c r="O13" i="11" s="1"/>
  <c r="R60" i="10"/>
  <c r="Q63" i="10"/>
  <c r="R62" i="10"/>
  <c r="R98" i="10"/>
  <c r="R84" i="10"/>
  <c r="S70" i="10"/>
  <c r="N19" i="11" l="1"/>
  <c r="N20" i="11" s="1"/>
  <c r="P44" i="10"/>
  <c r="O8" i="11" s="1"/>
  <c r="O33" i="11" s="1"/>
  <c r="O16" i="11"/>
  <c r="O32" i="11" s="1"/>
  <c r="R35" i="10"/>
  <c r="Q42" i="10"/>
  <c r="R100" i="10"/>
  <c r="Q12" i="11" s="1"/>
  <c r="Q18" i="11" s="1"/>
  <c r="R121" i="10"/>
  <c r="K31" i="11"/>
  <c r="K38" i="11" s="1"/>
  <c r="K26" i="11"/>
  <c r="K28" i="11"/>
  <c r="K29" i="11"/>
  <c r="M6" i="11"/>
  <c r="L7" i="11"/>
  <c r="L9" i="11" s="1"/>
  <c r="L10" i="11" s="1"/>
  <c r="L21" i="11" s="1"/>
  <c r="L22" i="11" s="1"/>
  <c r="L23" i="11" s="1"/>
  <c r="L24" i="11" s="1"/>
  <c r="O17" i="11"/>
  <c r="Q112" i="10"/>
  <c r="Q134" i="10" s="1"/>
  <c r="S77" i="10"/>
  <c r="T70" i="10"/>
  <c r="S98" i="10"/>
  <c r="R63" i="10"/>
  <c r="S60" i="10"/>
  <c r="S84" i="10"/>
  <c r="S62" i="10"/>
  <c r="Q91" i="10"/>
  <c r="Q101" i="10" s="1"/>
  <c r="P15" i="11" s="1"/>
  <c r="P13" i="11" s="1"/>
  <c r="O19" i="11" l="1"/>
  <c r="O20" i="11" s="1"/>
  <c r="Q44" i="10"/>
  <c r="P8" i="11" s="1"/>
  <c r="P33" i="11" s="1"/>
  <c r="P16" i="11"/>
  <c r="P32" i="11" s="1"/>
  <c r="S35" i="10"/>
  <c r="R42" i="10"/>
  <c r="S100" i="10"/>
  <c r="R12" i="11" s="1"/>
  <c r="R18" i="11" s="1"/>
  <c r="S121" i="10"/>
  <c r="L28" i="11"/>
  <c r="L29" i="11"/>
  <c r="L31" i="11"/>
  <c r="L38" i="11" s="1"/>
  <c r="L26" i="11"/>
  <c r="M7" i="11"/>
  <c r="M9" i="11" s="1"/>
  <c r="M10" i="11" s="1"/>
  <c r="M21" i="11" s="1"/>
  <c r="M22" i="11" s="1"/>
  <c r="M23" i="11" s="1"/>
  <c r="M24" i="11" s="1"/>
  <c r="N6" i="11"/>
  <c r="P17" i="11"/>
  <c r="R112" i="10"/>
  <c r="R134" i="10" s="1"/>
  <c r="R91" i="10"/>
  <c r="R101" i="10" s="1"/>
  <c r="Q15" i="11" s="1"/>
  <c r="Q13" i="11" s="1"/>
  <c r="S63" i="10"/>
  <c r="T60" i="10"/>
  <c r="U70" i="10"/>
  <c r="T98" i="10"/>
  <c r="T84" i="10"/>
  <c r="T62" i="10"/>
  <c r="T77" i="10"/>
  <c r="P19" i="11" l="1"/>
  <c r="P20" i="11" s="1"/>
  <c r="T35" i="10"/>
  <c r="S42" i="10"/>
  <c r="R44" i="10"/>
  <c r="Q8" i="11" s="1"/>
  <c r="Q33" i="11" s="1"/>
  <c r="Q16" i="11"/>
  <c r="Q32" i="11" s="1"/>
  <c r="T100" i="10"/>
  <c r="S12" i="11" s="1"/>
  <c r="S18" i="11" s="1"/>
  <c r="T121" i="10"/>
  <c r="N7" i="11"/>
  <c r="N9" i="11" s="1"/>
  <c r="N10" i="11" s="1"/>
  <c r="N21" i="11" s="1"/>
  <c r="N22" i="11" s="1"/>
  <c r="N23" i="11" s="1"/>
  <c r="N24" i="11" s="1"/>
  <c r="O6" i="11"/>
  <c r="M29" i="11"/>
  <c r="M28" i="11"/>
  <c r="M31" i="11"/>
  <c r="M38" i="11" s="1"/>
  <c r="M26" i="11"/>
  <c r="Q17" i="11"/>
  <c r="S112" i="10"/>
  <c r="S134" i="10" s="1"/>
  <c r="U77" i="10"/>
  <c r="U62" i="10"/>
  <c r="V70" i="10"/>
  <c r="S91" i="10"/>
  <c r="S101" i="10" s="1"/>
  <c r="R15" i="11" s="1"/>
  <c r="R13" i="11" s="1"/>
  <c r="U60" i="10"/>
  <c r="T63" i="10"/>
  <c r="U84" i="10"/>
  <c r="U98" i="10"/>
  <c r="S44" i="10" l="1"/>
  <c r="R8" i="11" s="1"/>
  <c r="R33" i="11" s="1"/>
  <c r="R16" i="11"/>
  <c r="R32" i="11" s="1"/>
  <c r="Q19" i="11"/>
  <c r="Q20" i="11" s="1"/>
  <c r="U35" i="10"/>
  <c r="T42" i="10"/>
  <c r="U100" i="10"/>
  <c r="T12" i="11" s="1"/>
  <c r="T18" i="11" s="1"/>
  <c r="U121" i="10"/>
  <c r="P6" i="11"/>
  <c r="O7" i="11"/>
  <c r="O9" i="11" s="1"/>
  <c r="O10" i="11" s="1"/>
  <c r="O21" i="11" s="1"/>
  <c r="O22" i="11" s="1"/>
  <c r="O23" i="11" s="1"/>
  <c r="O24" i="11" s="1"/>
  <c r="N29" i="11"/>
  <c r="N28" i="11"/>
  <c r="N26" i="11"/>
  <c r="N31" i="11"/>
  <c r="N38" i="11" s="1"/>
  <c r="R17" i="11"/>
  <c r="T112" i="10"/>
  <c r="T134" i="10" s="1"/>
  <c r="V98" i="10"/>
  <c r="V60" i="10"/>
  <c r="U63" i="10"/>
  <c r="V77" i="10"/>
  <c r="T91" i="10"/>
  <c r="T101" i="10" s="1"/>
  <c r="S15" i="11" s="1"/>
  <c r="S13" i="11" s="1"/>
  <c r="X70" i="10"/>
  <c r="W70" i="10"/>
  <c r="V84" i="10"/>
  <c r="V62" i="10"/>
  <c r="R19" i="11" l="1"/>
  <c r="R20" i="11" s="1"/>
  <c r="V35" i="10"/>
  <c r="U42" i="10"/>
  <c r="T44" i="10"/>
  <c r="S8" i="11" s="1"/>
  <c r="S33" i="11" s="1"/>
  <c r="S16" i="11"/>
  <c r="S32" i="11" s="1"/>
  <c r="V100" i="10"/>
  <c r="U12" i="11" s="1"/>
  <c r="U18" i="11" s="1"/>
  <c r="V121" i="10"/>
  <c r="O28" i="11"/>
  <c r="O26" i="11"/>
  <c r="O31" i="11"/>
  <c r="O38" i="11" s="1"/>
  <c r="O29" i="11"/>
  <c r="P7" i="11"/>
  <c r="P9" i="11" s="1"/>
  <c r="P10" i="11" s="1"/>
  <c r="P21" i="11" s="1"/>
  <c r="P22" i="11" s="1"/>
  <c r="P23" i="11" s="1"/>
  <c r="P24" i="11" s="1"/>
  <c r="Q6" i="11"/>
  <c r="S17" i="11"/>
  <c r="U112" i="10"/>
  <c r="U134" i="10" s="1"/>
  <c r="V63" i="10"/>
  <c r="W60" i="10"/>
  <c r="U91" i="10"/>
  <c r="U101" i="10" s="1"/>
  <c r="T15" i="11" s="1"/>
  <c r="T13" i="11" s="1"/>
  <c r="W98" i="10"/>
  <c r="X98" i="10"/>
  <c r="X62" i="10"/>
  <c r="W62" i="10"/>
  <c r="W84" i="10"/>
  <c r="X84" i="10"/>
  <c r="X77" i="10"/>
  <c r="W77" i="10"/>
  <c r="U44" i="10" l="1"/>
  <c r="T8" i="11" s="1"/>
  <c r="T33" i="11" s="1"/>
  <c r="T16" i="11"/>
  <c r="T32" i="11" s="1"/>
  <c r="S19" i="11"/>
  <c r="S20" i="11" s="1"/>
  <c r="W35" i="10"/>
  <c r="V42" i="10"/>
  <c r="X100" i="10"/>
  <c r="W12" i="11" s="1"/>
  <c r="W18" i="11" s="1"/>
  <c r="X121" i="10"/>
  <c r="W100" i="10"/>
  <c r="V12" i="11" s="1"/>
  <c r="V18" i="11" s="1"/>
  <c r="W121" i="10"/>
  <c r="R6" i="11"/>
  <c r="Q7" i="11"/>
  <c r="Q9" i="11" s="1"/>
  <c r="Q10" i="11" s="1"/>
  <c r="Q21" i="11" s="1"/>
  <c r="Q22" i="11" s="1"/>
  <c r="P26" i="11"/>
  <c r="P31" i="11"/>
  <c r="P38" i="11" s="1"/>
  <c r="P28" i="11"/>
  <c r="P29" i="11"/>
  <c r="T17" i="11"/>
  <c r="V112" i="10"/>
  <c r="V134" i="10" s="1"/>
  <c r="V91" i="10"/>
  <c r="V101" i="10" s="1"/>
  <c r="U15" i="11" s="1"/>
  <c r="U13" i="11" s="1"/>
  <c r="W63" i="10"/>
  <c r="X60" i="10"/>
  <c r="X63" i="10" s="1"/>
  <c r="T19" i="11" l="1"/>
  <c r="T20" i="11" s="1"/>
  <c r="X35" i="10"/>
  <c r="X42" i="10" s="1"/>
  <c r="W42" i="10"/>
  <c r="V44" i="10"/>
  <c r="U8" i="11" s="1"/>
  <c r="U33" i="11" s="1"/>
  <c r="U16" i="11"/>
  <c r="U32" i="11" s="1"/>
  <c r="Q23" i="11"/>
  <c r="Q24" i="11" s="1"/>
  <c r="S6" i="11"/>
  <c r="R7" i="11"/>
  <c r="R9" i="11" s="1"/>
  <c r="R10" i="11" s="1"/>
  <c r="R21" i="11" s="1"/>
  <c r="R22" i="11" s="1"/>
  <c r="R23" i="11" s="1"/>
  <c r="R24" i="11" s="1"/>
  <c r="U17" i="11"/>
  <c r="W112" i="10"/>
  <c r="W134" i="10" s="1"/>
  <c r="X91" i="10"/>
  <c r="X101" i="10" s="1"/>
  <c r="W15" i="11" s="1"/>
  <c r="W13" i="11" s="1"/>
  <c r="W91" i="10"/>
  <c r="W101" i="10" s="1"/>
  <c r="V15" i="11" s="1"/>
  <c r="V13" i="11" s="1"/>
  <c r="U19" i="11" l="1"/>
  <c r="U20" i="11" s="1"/>
  <c r="W44" i="10"/>
  <c r="V16" i="11"/>
  <c r="V32" i="11" s="1"/>
  <c r="X44" i="10"/>
  <c r="W16" i="11"/>
  <c r="W32" i="11" s="1"/>
  <c r="Q26" i="11"/>
  <c r="Q31" i="11"/>
  <c r="Q38" i="11" s="1"/>
  <c r="Q28" i="11"/>
  <c r="Q29" i="11"/>
  <c r="T6" i="11"/>
  <c r="S7" i="11"/>
  <c r="S9" i="11" s="1"/>
  <c r="S10" i="11" s="1"/>
  <c r="S21" i="11" s="1"/>
  <c r="S22" i="11" s="1"/>
  <c r="S23" i="11" s="1"/>
  <c r="S24" i="11" s="1"/>
  <c r="R29" i="11"/>
  <c r="R28" i="11"/>
  <c r="R26" i="11"/>
  <c r="R31" i="11"/>
  <c r="R38" i="11" s="1"/>
  <c r="V17" i="11"/>
  <c r="V19" i="11" l="1"/>
  <c r="V20" i="11" s="1"/>
  <c r="W8" i="11"/>
  <c r="V8" i="11"/>
  <c r="V33" i="11" s="1"/>
  <c r="X112" i="10"/>
  <c r="X134" i="10" s="1"/>
  <c r="W17" i="11" s="1"/>
  <c r="W19" i="11" s="1"/>
  <c r="W20" i="11" s="1"/>
  <c r="S26" i="11"/>
  <c r="S29" i="11"/>
  <c r="S31" i="11"/>
  <c r="S38" i="11" s="1"/>
  <c r="S28" i="11"/>
  <c r="T7" i="11"/>
  <c r="T9" i="11" s="1"/>
  <c r="T10" i="11" s="1"/>
  <c r="T21" i="11" s="1"/>
  <c r="T22" i="11" s="1"/>
  <c r="T23" i="11" s="1"/>
  <c r="T24" i="11" s="1"/>
  <c r="U6" i="11"/>
  <c r="W33" i="11" l="1"/>
  <c r="U7" i="11"/>
  <c r="U9" i="11" s="1"/>
  <c r="U10" i="11" s="1"/>
  <c r="U21" i="11" s="1"/>
  <c r="U22" i="11" s="1"/>
  <c r="U23" i="11" s="1"/>
  <c r="U24" i="11" s="1"/>
  <c r="V6" i="11"/>
  <c r="T31" i="11"/>
  <c r="T38" i="11" s="1"/>
  <c r="T28" i="11"/>
  <c r="T29" i="11"/>
  <c r="T26" i="11"/>
  <c r="W6" i="11" l="1"/>
  <c r="W7" i="11" s="1"/>
  <c r="W9" i="11" s="1"/>
  <c r="W36" i="11" s="1"/>
  <c r="V7" i="11"/>
  <c r="V9" i="11" s="1"/>
  <c r="V10" i="11" s="1"/>
  <c r="V21" i="11" s="1"/>
  <c r="V22" i="11" s="1"/>
  <c r="V23" i="11" s="1"/>
  <c r="V24" i="11" s="1"/>
  <c r="U31" i="11"/>
  <c r="U38" i="11" s="1"/>
  <c r="U29" i="11"/>
  <c r="U28" i="11"/>
  <c r="U26" i="11"/>
  <c r="V31" i="11" l="1"/>
  <c r="V38" i="11" s="1"/>
  <c r="V29" i="11"/>
  <c r="V28" i="11"/>
  <c r="V26" i="11"/>
  <c r="W10" i="11"/>
  <c r="W21" i="11" s="1"/>
  <c r="W22" i="11" s="1"/>
  <c r="W23" i="11" s="1"/>
  <c r="W24" i="11" s="1"/>
  <c r="W28" i="11" l="1"/>
  <c r="W29" i="11"/>
  <c r="W26" i="11"/>
  <c r="W31" i="11"/>
  <c r="W38" i="11" l="1"/>
  <c r="C44" i="11" s="1"/>
  <c r="C42" i="11" l="1"/>
  <c r="D25" i="10" s="1"/>
  <c r="C47" i="11" l="1"/>
</calcChain>
</file>

<file path=xl/sharedStrings.xml><?xml version="1.0" encoding="utf-8"?>
<sst xmlns="http://schemas.openxmlformats.org/spreadsheetml/2006/main" count="190" uniqueCount="151">
  <si>
    <t>Incremental O&amp;M</t>
  </si>
  <si>
    <t>Income Taxes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</si>
  <si>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</si>
  <si>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</si>
  <si>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</si>
  <si>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</si>
  <si>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</si>
  <si>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</si>
  <si>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</si>
  <si>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</si>
  <si>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</si>
  <si>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</si>
  <si>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Utility Plant in Service</t>
  </si>
  <si>
    <t>Accumulated Depreciation</t>
  </si>
  <si>
    <t>Net Utility Plant in Service</t>
  </si>
  <si>
    <t>Accumulated Deferred Taxes</t>
  </si>
  <si>
    <t>Operating Revenues - Current Rates</t>
  </si>
  <si>
    <t>Depreciation and Amortization</t>
  </si>
  <si>
    <t>Taxes Other Than Income Taxes</t>
  </si>
  <si>
    <t>Cost of Debt</t>
  </si>
  <si>
    <t>Equity Ratio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</si>
  <si>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</si>
  <si>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</si>
  <si>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</si>
  <si>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</si>
  <si>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</si>
  <si>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</si>
  <si>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</si>
  <si>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</si>
  <si>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</si>
  <si>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</si>
  <si>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Annual Throughput (Therms)</t>
  </si>
  <si>
    <t>Effective Incremental Tax Rate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</si>
  <si>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</si>
  <si>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</si>
  <si>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</si>
  <si>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</si>
  <si>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</si>
  <si>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</si>
  <si>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</si>
  <si>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</si>
  <si>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</si>
  <si>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</si>
  <si>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</si>
  <si>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</si>
  <si>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</si>
  <si>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</si>
  <si>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</si>
  <si>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</si>
  <si>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</si>
  <si>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</si>
  <si>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</si>
  <si>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</si>
  <si>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3Y MACRS</t>
  </si>
  <si>
    <t>5Y MACRS</t>
  </si>
  <si>
    <t>7Y MACRS</t>
  </si>
  <si>
    <t>10Y MACRS</t>
  </si>
  <si>
    <t>15Y MACRS</t>
  </si>
  <si>
    <t>20Y MACRS</t>
  </si>
  <si>
    <t>Bonus Depreciation Rate</t>
  </si>
  <si>
    <t>Total Investment</t>
  </si>
  <si>
    <t>Net Income</t>
  </si>
  <si>
    <t>Depreciation</t>
  </si>
  <si>
    <t>Capital Investment</t>
  </si>
  <si>
    <t>Net Cash Flow</t>
  </si>
  <si>
    <t>Applicable Volumetric Rate (excluding commodity and EE)</t>
  </si>
  <si>
    <t>CIAC (before gross-up)</t>
  </si>
  <si>
    <t>Depreciation Base (Book)</t>
  </si>
  <si>
    <t>Customer Contribution (excluding gross-up)</t>
  </si>
  <si>
    <t>Non-Depreciable Portion</t>
  </si>
  <si>
    <t>Depreciation Base (Tax)</t>
  </si>
  <si>
    <t>Tax Depreciation</t>
  </si>
  <si>
    <t>Book Depreciation</t>
  </si>
  <si>
    <t>Bonus Depreciation Tax Rate</t>
  </si>
  <si>
    <t>Tax Depreciation - No Bonus</t>
  </si>
  <si>
    <t>Bonus Less No Bonus</t>
  </si>
  <si>
    <t>Deferred Tax</t>
  </si>
  <si>
    <t>Deferred Taxes</t>
  </si>
  <si>
    <t># of Customers</t>
  </si>
  <si>
    <t>Applicable Base Monthly Rate</t>
  </si>
  <si>
    <t>Book Depreciation Life (years)</t>
  </si>
  <si>
    <t>Other Income (gross-up on CIAC, net of tax)</t>
  </si>
  <si>
    <t>Allowed Return on Equity</t>
  </si>
  <si>
    <t>Total Operating Expenses</t>
  </si>
  <si>
    <t>Pre-Tax Operating Income</t>
  </si>
  <si>
    <t>Internal Rate of Return (20 Years)</t>
  </si>
  <si>
    <t>Iowa Replacement Tax Rate ($/Therm)</t>
  </si>
  <si>
    <t>Net Present Value at Target Rate of Return</t>
  </si>
  <si>
    <t>Incremental Utility Rate Base (Average)</t>
  </si>
  <si>
    <t>Incremental Utility Rate Base (End of Year)</t>
  </si>
  <si>
    <t>Return on Average Rate Base</t>
  </si>
  <si>
    <t>Gross-up Rate for CIAC</t>
  </si>
  <si>
    <t>Tax Depreciation Schedules:</t>
  </si>
  <si>
    <t>(Composite rate reflecting the fact that Iowa does not recognize bonus depreciation)</t>
  </si>
  <si>
    <t>(Company-specific rate that takes into account bonus depreciation)</t>
  </si>
  <si>
    <t>Interest Expense</t>
  </si>
  <si>
    <t>Net Income Before Tax</t>
  </si>
  <si>
    <t xml:space="preserve">Net Income </t>
  </si>
  <si>
    <t>Return on Equity</t>
  </si>
  <si>
    <t>Annual Use Per Customer (Therms)</t>
  </si>
  <si>
    <t>Projected Revenues</t>
  </si>
  <si>
    <t>Total Projected Revenues</t>
  </si>
  <si>
    <t>O&amp;M Adjustments:</t>
  </si>
  <si>
    <t>[Description]</t>
  </si>
  <si>
    <t>Average Applicable Rate ($/Therm)</t>
  </si>
  <si>
    <t>Capitalization and Returns:</t>
  </si>
  <si>
    <t>Tax Rate Assumptions:</t>
  </si>
  <si>
    <t>Project Cost and Customer Contribution:</t>
  </si>
  <si>
    <t>Depreciation and Deferred Taxes:</t>
  </si>
  <si>
    <t>Book Depreciation (%)</t>
  </si>
  <si>
    <t>Tax Depreciation (%)</t>
  </si>
  <si>
    <t>Calculations:</t>
  </si>
  <si>
    <t>Revenue Projections:</t>
  </si>
  <si>
    <t>Total Projected Annual Throughput</t>
  </si>
  <si>
    <t>O&amp;M Projections:</t>
  </si>
  <si>
    <t>Rate Schedule 4: [Decription]</t>
  </si>
  <si>
    <t>Rate Schedule 5: [Decription]</t>
  </si>
  <si>
    <t>Rate Schedule 6: [Decription]</t>
  </si>
  <si>
    <t>O&amp;M Expense (Annual Y1 per Customer) - Rate Schedule 1</t>
  </si>
  <si>
    <t>O&amp;M Expense (Annual Y1 per Customer) - Rate Schedule 2</t>
  </si>
  <si>
    <t>O&amp;M Expense (Annual Y1 per Customer) - Rate Schedule 3</t>
  </si>
  <si>
    <t>O&amp;M Expense (Annual Y1 per Customer) - Rate Schedule 4</t>
  </si>
  <si>
    <t>O&amp;M Expense (Annual Y1 per Customer) - Rate Schedule 5</t>
  </si>
  <si>
    <t>O&amp;M Expense (Annual Y1 per Customer) - Rate Schedule 6</t>
  </si>
  <si>
    <t>(Lookup)</t>
  </si>
  <si>
    <t>Total Projected O&amp;M</t>
  </si>
  <si>
    <t>Inputs</t>
  </si>
  <si>
    <t>Calculations</t>
  </si>
  <si>
    <t xml:space="preserve">Tax Depreciation Method </t>
  </si>
  <si>
    <t>(Select from Drop-down List)</t>
  </si>
  <si>
    <t>Applicable Volumetric Rate ($/Therm)</t>
  </si>
  <si>
    <t xml:space="preserve">Target Rate of Return </t>
  </si>
  <si>
    <t>Debt Ratio</t>
  </si>
  <si>
    <t>Goal Seek Target = 0:</t>
  </si>
  <si>
    <t>Standard 20-Year Feasibility Model</t>
  </si>
  <si>
    <t>O&amp;M Expense (Annual Y1 per Therm) - Rate Schedule 1</t>
  </si>
  <si>
    <t>O&amp;M Expense (Annual Y1 per Therm) - Rate Schedule 2</t>
  </si>
  <si>
    <t>O&amp;M Expense (Annual Y1 per Therm) - Rate Schedule 3</t>
  </si>
  <si>
    <t>O&amp;M Expense (Annual Y1 per Therm) - Rate Schedule 4</t>
  </si>
  <si>
    <t>O&amp;M Expense (Annual Y1 per Therm) - Rate Schedule 5</t>
  </si>
  <si>
    <t>O&amp;M Expense (Annual Y1 per Therm) - Rate Schedule 6</t>
  </si>
  <si>
    <t>Total Customer Expenses</t>
  </si>
  <si>
    <t>Total Throughput Expenses</t>
  </si>
  <si>
    <t>Total Adjustments</t>
  </si>
  <si>
    <t>CIAC (with gross-up)</t>
  </si>
  <si>
    <t>Net Residual Value</t>
  </si>
  <si>
    <t>(Solver Result)</t>
  </si>
  <si>
    <t>Rate Schedule 2: Commercial</t>
  </si>
  <si>
    <t>Test Project</t>
  </si>
  <si>
    <t>Rate Schedule 1: Industrial</t>
  </si>
  <si>
    <t>Rate Schedule 3: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</si>
</sst>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#,##0_);[Red]\(#,##0\);&quot; &quot;"/>
    <numFmt numFmtId="167" formatCode="&quot;$&quot;#,##0.0000_);[Red]\(&quot;$&quot;#,##0.0000\)"/>
    <numFmt numFmtId="168" formatCode="&quot;$&quot;#,##0.000000_);\(&quot;$&quot;#,##0.000000\)"/>
    <numFmt numFmtId="169" formatCode="&quot;$&quot;#,##0.00"/>
    <numFmt numFmtId="170" formatCode="#,##0.000_);[Red]\(#,##0.000\);&quot; &quot;"/>
    <numFmt numFmtId="171" formatCode="&quot;$&quot;#,##0.00000_);\(&quot;$&quot;#,##0.00000\)"/>
    <numFmt numFmtId="172" formatCode="_(* #,##0.0000_);_(* \(#,##0.0000\);_(* &quot;-&quot;??_);_(@_)"/>
    <numFmt numFmtId="173" formatCode="&quot;$&quot;#,##0.0000_);\(&quot;$&quot;#,##0.0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C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i/>
      <u/>
      <sz val="10"/>
      <name val="Arial"/>
      <family val="2"/>
    </font>
    <font>
      <b/>
      <sz val="16"/>
      <color rgb="FF0070C0"/>
      <name val="Arial"/>
      <family val="2"/>
    </font>
    <font>
      <sz val="11"/>
      <color rgb="FF000080"/>
      <name val="Calibri"/>
      <family val="2"/>
    </font>
    <font>
      <i/>
      <sz val="8"/>
      <color theme="0" tint="-0.249977111117893"/>
      <name val="Arial"/>
      <family val="2"/>
    </font>
    <font>
      <sz val="10"/>
      <color theme="0"/>
      <name val="Arial"/>
      <family val="2"/>
    </font>
    <font>
      <b/>
      <sz val="14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10" fontId="3" fillId="0" borderId="0" xfId="2" applyNumberFormat="1" applyFont="1"/>
    <xf numFmtId="10" fontId="6" fillId="0" borderId="0" xfId="0" applyNumberFormat="1" applyFont="1" applyFill="1"/>
    <xf numFmtId="166" fontId="5" fillId="2" borderId="0" xfId="0" applyNumberFormat="1" applyFont="1" applyFill="1" applyAlignment="1">
      <alignment horizontal="left"/>
    </xf>
    <xf numFmtId="49" fontId="4" fillId="2" borderId="0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Alignment="1">
      <alignment horizontal="left"/>
    </xf>
    <xf numFmtId="0" fontId="3" fillId="2" borderId="0" xfId="0" applyFont="1" applyFill="1" applyBorder="1"/>
    <xf numFmtId="164" fontId="3" fillId="2" borderId="0" xfId="1" applyNumberFormat="1" applyFont="1" applyFill="1" applyBorder="1"/>
    <xf numFmtId="6" fontId="3" fillId="2" borderId="0" xfId="0" applyNumberFormat="1" applyFont="1" applyFill="1" applyBorder="1" applyAlignment="1">
      <alignment horizontal="right"/>
    </xf>
    <xf numFmtId="6" fontId="4" fillId="2" borderId="0" xfId="0" applyNumberFormat="1" applyFont="1" applyFill="1" applyBorder="1" applyAlignment="1">
      <alignment horizontal="right"/>
    </xf>
    <xf numFmtId="6" fontId="3" fillId="2" borderId="0" xfId="0" applyNumberFormat="1" applyFont="1" applyFill="1" applyBorder="1"/>
    <xf numFmtId="6" fontId="3" fillId="2" borderId="0" xfId="0" applyNumberFormat="1" applyFont="1" applyFill="1" applyBorder="1" applyAlignment="1"/>
    <xf numFmtId="10" fontId="3" fillId="2" borderId="0" xfId="2" applyNumberFormat="1" applyFont="1" applyFill="1" applyBorder="1"/>
    <xf numFmtId="0" fontId="4" fillId="2" borderId="0" xfId="0" applyFont="1" applyFill="1"/>
    <xf numFmtId="10" fontId="4" fillId="2" borderId="0" xfId="2" applyNumberFormat="1" applyFont="1" applyFill="1" applyBorder="1"/>
    <xf numFmtId="49" fontId="7" fillId="2" borderId="0" xfId="0" applyNumberFormat="1" applyFont="1" applyFill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8" fillId="2" borderId="0" xfId="0" applyFont="1" applyFill="1"/>
    <xf numFmtId="6" fontId="8" fillId="2" borderId="0" xfId="0" applyNumberFormat="1" applyFont="1" applyFill="1" applyAlignment="1">
      <alignment horizontal="right"/>
    </xf>
    <xf numFmtId="6" fontId="8" fillId="2" borderId="2" xfId="0" applyNumberFormat="1" applyFont="1" applyFill="1" applyBorder="1" applyAlignment="1">
      <alignment horizontal="right"/>
    </xf>
    <xf numFmtId="6" fontId="9" fillId="2" borderId="3" xfId="0" applyNumberFormat="1" applyFont="1" applyFill="1" applyBorder="1" applyAlignment="1">
      <alignment horizontal="right"/>
    </xf>
    <xf numFmtId="6" fontId="9" fillId="2" borderId="4" xfId="0" applyNumberFormat="1" applyFont="1" applyFill="1" applyBorder="1" applyAlignment="1">
      <alignment horizontal="right"/>
    </xf>
    <xf numFmtId="6" fontId="8" fillId="2" borderId="0" xfId="0" applyNumberFormat="1" applyFont="1" applyFill="1"/>
    <xf numFmtId="164" fontId="8" fillId="2" borderId="0" xfId="1" applyNumberFormat="1" applyFont="1" applyFill="1"/>
    <xf numFmtId="167" fontId="8" fillId="2" borderId="0" xfId="0" applyNumberFormat="1" applyFont="1" applyFill="1"/>
    <xf numFmtId="6" fontId="8" fillId="2" borderId="0" xfId="0" applyNumberFormat="1" applyFont="1" applyFill="1" applyAlignment="1"/>
    <xf numFmtId="10" fontId="8" fillId="2" borderId="0" xfId="2" applyNumberFormat="1" applyFont="1" applyFill="1"/>
    <xf numFmtId="166" fontId="8" fillId="2" borderId="0" xfId="0" applyNumberFormat="1" applyFont="1" applyFill="1" applyAlignment="1">
      <alignment horizontal="left"/>
    </xf>
    <xf numFmtId="166" fontId="9" fillId="2" borderId="0" xfId="0" applyNumberFormat="1" applyFont="1" applyFill="1" applyAlignment="1">
      <alignment horizontal="left" indent="2"/>
    </xf>
    <xf numFmtId="0" fontId="9" fillId="2" borderId="0" xfId="0" applyFont="1" applyFill="1"/>
    <xf numFmtId="10" fontId="4" fillId="2" borderId="4" xfId="2" applyNumberFormat="1" applyFont="1" applyFill="1" applyBorder="1"/>
    <xf numFmtId="165" fontId="9" fillId="2" borderId="0" xfId="2" applyNumberFormat="1" applyFont="1" applyFill="1" applyBorder="1"/>
    <xf numFmtId="165" fontId="9" fillId="2" borderId="4" xfId="2" applyNumberFormat="1" applyFont="1" applyFill="1" applyBorder="1"/>
    <xf numFmtId="0" fontId="9" fillId="4" borderId="5" xfId="0" applyFont="1" applyFill="1" applyBorder="1"/>
    <xf numFmtId="10" fontId="9" fillId="4" borderId="6" xfId="2" applyNumberFormat="1" applyFont="1" applyFill="1" applyBorder="1"/>
    <xf numFmtId="6" fontId="8" fillId="5" borderId="0" xfId="0" applyNumberFormat="1" applyFont="1" applyFill="1" applyAlignment="1"/>
    <xf numFmtId="6" fontId="9" fillId="2" borderId="0" xfId="0" applyNumberFormat="1" applyFont="1" applyFill="1" applyBorder="1" applyAlignment="1">
      <alignment horizontal="right"/>
    </xf>
    <xf numFmtId="6" fontId="8" fillId="2" borderId="0" xfId="0" applyNumberFormat="1" applyFont="1" applyFill="1" applyBorder="1" applyAlignment="1">
      <alignment horizontal="right"/>
    </xf>
    <xf numFmtId="0" fontId="9" fillId="2" borderId="4" xfId="0" applyFont="1" applyFill="1" applyBorder="1"/>
    <xf numFmtId="165" fontId="9" fillId="5" borderId="0" xfId="2" applyNumberFormat="1" applyFont="1" applyFill="1" applyBorder="1"/>
    <xf numFmtId="0" fontId="9" fillId="5" borderId="0" xfId="0" applyFont="1" applyFill="1" applyBorder="1"/>
    <xf numFmtId="10" fontId="9" fillId="5" borderId="0" xfId="2" applyNumberFormat="1" applyFont="1" applyFill="1" applyBorder="1"/>
    <xf numFmtId="10" fontId="4" fillId="2" borderId="0" xfId="2" applyNumberFormat="1" applyFont="1" applyFill="1" applyBorder="1" applyAlignment="1">
      <alignment horizontal="center" vertical="center"/>
    </xf>
    <xf numFmtId="165" fontId="9" fillId="4" borderId="6" xfId="2" applyNumberFormat="1" applyFont="1" applyFill="1" applyBorder="1"/>
    <xf numFmtId="170" fontId="8" fillId="2" borderId="0" xfId="0" applyNumberFormat="1" applyFont="1" applyFill="1" applyAlignment="1">
      <alignment horizontal="left"/>
    </xf>
    <xf numFmtId="10" fontId="8" fillId="2" borderId="0" xfId="2" applyNumberFormat="1" applyFont="1" applyFill="1" applyBorder="1"/>
    <xf numFmtId="0" fontId="4" fillId="5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9" fillId="3" borderId="1" xfId="1" applyNumberFormat="1" applyFont="1" applyFill="1" applyBorder="1"/>
    <xf numFmtId="5" fontId="9" fillId="3" borderId="1" xfId="1" applyNumberFormat="1" applyFont="1" applyFill="1" applyBorder="1"/>
    <xf numFmtId="10" fontId="13" fillId="6" borderId="1" xfId="2" applyNumberFormat="1" applyFont="1" applyFill="1" applyBorder="1" applyAlignment="1">
      <alignment horizontal="center"/>
    </xf>
    <xf numFmtId="168" fontId="13" fillId="6" borderId="1" xfId="1" applyNumberFormat="1" applyFont="1" applyFill="1" applyBorder="1" applyAlignment="1">
      <alignment horizontal="center"/>
    </xf>
    <xf numFmtId="165" fontId="13" fillId="6" borderId="1" xfId="2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0" fontId="18" fillId="3" borderId="1" xfId="0" applyNumberFormat="1" applyFont="1" applyFill="1" applyBorder="1"/>
    <xf numFmtId="165" fontId="18" fillId="3" borderId="1" xfId="2" applyNumberFormat="1" applyFont="1" applyFill="1" applyBorder="1" applyAlignment="1">
      <alignment horizontal="center"/>
    </xf>
    <xf numFmtId="5" fontId="18" fillId="3" borderId="1" xfId="1" applyNumberFormat="1" applyFont="1" applyFill="1" applyBorder="1"/>
    <xf numFmtId="164" fontId="18" fillId="3" borderId="1" xfId="1" applyNumberFormat="1" applyFont="1" applyFill="1" applyBorder="1"/>
    <xf numFmtId="5" fontId="19" fillId="3" borderId="1" xfId="1" applyNumberFormat="1" applyFont="1" applyFill="1" applyBorder="1"/>
    <xf numFmtId="171" fontId="13" fillId="6" borderId="1" xfId="1" applyNumberFormat="1" applyFont="1" applyFill="1" applyBorder="1"/>
    <xf numFmtId="7" fontId="13" fillId="6" borderId="1" xfId="1" applyNumberFormat="1" applyFont="1" applyFill="1" applyBorder="1"/>
    <xf numFmtId="10" fontId="13" fillId="6" borderId="1" xfId="2" applyNumberFormat="1" applyFont="1" applyFill="1" applyBorder="1"/>
    <xf numFmtId="7" fontId="13" fillId="6" borderId="1" xfId="1" applyNumberFormat="1" applyFont="1" applyFill="1" applyBorder="1" applyAlignment="1">
      <alignment horizontal="center"/>
    </xf>
    <xf numFmtId="169" fontId="8" fillId="6" borderId="1" xfId="0" applyNumberFormat="1" applyFont="1" applyFill="1" applyBorder="1"/>
    <xf numFmtId="10" fontId="18" fillId="3" borderId="1" xfId="2" applyNumberFormat="1" applyFont="1" applyFill="1" applyBorder="1" applyAlignment="1">
      <alignment horizontal="center"/>
    </xf>
    <xf numFmtId="7" fontId="19" fillId="3" borderId="1" xfId="1" applyNumberFormat="1" applyFont="1" applyFill="1" applyBorder="1"/>
    <xf numFmtId="173" fontId="13" fillId="6" borderId="1" xfId="1" applyNumberFormat="1" applyFont="1" applyFill="1" applyBorder="1" applyAlignment="1">
      <alignment horizontal="center"/>
    </xf>
    <xf numFmtId="173" fontId="19" fillId="3" borderId="1" xfId="1" applyNumberFormat="1" applyFont="1" applyFill="1" applyBorder="1"/>
    <xf numFmtId="0" fontId="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0" fillId="2" borderId="0" xfId="0" applyFont="1" applyFill="1" applyBorder="1"/>
    <xf numFmtId="164" fontId="8" fillId="2" borderId="0" xfId="1" applyNumberFormat="1" applyFont="1" applyFill="1" applyBorder="1"/>
    <xf numFmtId="0" fontId="9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/>
    <xf numFmtId="0" fontId="18" fillId="2" borderId="0" xfId="0" applyFont="1" applyFill="1" applyAlignment="1">
      <alignment horizontal="left" indent="3"/>
    </xf>
    <xf numFmtId="0" fontId="12" fillId="2" borderId="0" xfId="0" applyFont="1" applyFill="1" applyAlignment="1">
      <alignment horizontal="left"/>
    </xf>
    <xf numFmtId="0" fontId="14" fillId="2" borderId="0" xfId="0" applyFont="1" applyFill="1"/>
    <xf numFmtId="164" fontId="14" fillId="2" borderId="0" xfId="1" applyNumberFormat="1" applyFont="1" applyFill="1"/>
    <xf numFmtId="0" fontId="14" fillId="2" borderId="0" xfId="0" applyFont="1" applyFill="1" applyAlignment="1">
      <alignment horizontal="left" indent="2"/>
    </xf>
    <xf numFmtId="168" fontId="13" fillId="2" borderId="0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 indent="3"/>
    </xf>
    <xf numFmtId="0" fontId="21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8" fillId="2" borderId="0" xfId="0" applyFont="1" applyFill="1"/>
    <xf numFmtId="0" fontId="19" fillId="2" borderId="0" xfId="0" applyFont="1" applyFill="1" applyAlignment="1">
      <alignment horizontal="left" indent="3"/>
    </xf>
    <xf numFmtId="164" fontId="20" fillId="2" borderId="0" xfId="1" applyNumberFormat="1" applyFont="1" applyFill="1" applyBorder="1"/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0" fontId="14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164" fontId="9" fillId="2" borderId="0" xfId="1" applyNumberFormat="1" applyFont="1" applyFill="1" applyBorder="1"/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9" fontId="13" fillId="2" borderId="0" xfId="2" applyFont="1" applyFill="1"/>
    <xf numFmtId="0" fontId="15" fillId="2" borderId="0" xfId="0" applyFont="1" applyFill="1" applyAlignment="1">
      <alignment horizontal="left" indent="3"/>
    </xf>
    <xf numFmtId="0" fontId="15" fillId="2" borderId="0" xfId="0" applyFont="1" applyFill="1" applyAlignment="1">
      <alignment horizontal="left" indent="6"/>
    </xf>
    <xf numFmtId="0" fontId="16" fillId="2" borderId="0" xfId="0" applyFont="1" applyFill="1" applyAlignment="1">
      <alignment horizontal="center"/>
    </xf>
    <xf numFmtId="5" fontId="15" fillId="2" borderId="0" xfId="1" applyNumberFormat="1" applyFont="1" applyFill="1" applyBorder="1"/>
    <xf numFmtId="7" fontId="13" fillId="2" borderId="0" xfId="1" applyNumberFormat="1" applyFont="1" applyFill="1" applyBorder="1"/>
    <xf numFmtId="0" fontId="17" fillId="2" borderId="0" xfId="0" applyFont="1" applyFill="1"/>
    <xf numFmtId="10" fontId="13" fillId="2" borderId="0" xfId="2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 indent="2"/>
    </xf>
    <xf numFmtId="7" fontId="13" fillId="2" borderId="0" xfId="1" applyNumberFormat="1" applyFont="1" applyFill="1" applyBorder="1" applyAlignment="1">
      <alignment horizontal="center"/>
    </xf>
    <xf numFmtId="5" fontId="19" fillId="2" borderId="0" xfId="1" applyNumberFormat="1" applyFont="1" applyFill="1" applyBorder="1"/>
    <xf numFmtId="0" fontId="8" fillId="2" borderId="0" xfId="0" applyFont="1" applyFill="1" applyAlignment="1">
      <alignment horizontal="left" indent="2"/>
    </xf>
    <xf numFmtId="0" fontId="10" fillId="2" borderId="0" xfId="0" applyFont="1" applyFill="1"/>
    <xf numFmtId="169" fontId="13" fillId="2" borderId="0" xfId="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164" fontId="9" fillId="2" borderId="0" xfId="1" applyNumberFormat="1" applyFont="1" applyFill="1"/>
    <xf numFmtId="165" fontId="8" fillId="2" borderId="0" xfId="0" applyNumberFormat="1" applyFont="1" applyFill="1"/>
    <xf numFmtId="0" fontId="24" fillId="0" borderId="0" xfId="0" applyFont="1" applyAlignment="1">
      <alignment horizontal="right"/>
    </xf>
    <xf numFmtId="172" fontId="24" fillId="3" borderId="0" xfId="1" applyNumberFormat="1" applyFont="1" applyFill="1"/>
    <xf numFmtId="0" fontId="9" fillId="2" borderId="0" xfId="0" applyFont="1" applyFill="1"/>
    <xf numFmtId="165" fontId="9" fillId="2" borderId="4" xfId="2" applyNumberFormat="1" applyFont="1" applyFill="1" applyBorder="1"/>
    <xf numFmtId="164" fontId="13" fillId="6" borderId="1" xfId="1" applyNumberFormat="1" applyFont="1" applyFill="1" applyBorder="1" applyAlignment="1">
      <alignment horizontal="center"/>
    </xf>
    <xf numFmtId="171" fontId="15" fillId="3" borderId="1" xfId="1" applyNumberFormat="1" applyFont="1" applyFill="1" applyBorder="1"/>
    <xf numFmtId="7" fontId="15" fillId="3" borderId="1" xfId="1" applyNumberFormat="1" applyFont="1" applyFill="1" applyBorder="1"/>
    <xf numFmtId="0" fontId="16" fillId="6" borderId="1" xfId="0" applyFont="1" applyFill="1" applyBorder="1" applyAlignment="1">
      <alignment horizontal="left" indent="2"/>
    </xf>
    <xf numFmtId="0" fontId="13" fillId="6" borderId="0" xfId="0" applyFont="1" applyFill="1" applyAlignment="1">
      <alignment horizontal="left"/>
    </xf>
    <xf numFmtId="164" fontId="13" fillId="6" borderId="1" xfId="1" applyNumberFormat="1" applyFont="1" applyFill="1" applyBorder="1"/>
    <xf numFmtId="5" fontId="14" fillId="2" borderId="0" xfId="1" applyNumberFormat="1" applyFont="1" applyFill="1"/>
    <xf numFmtId="10" fontId="18" fillId="3" borderId="1" xfId="0" applyNumberFormat="1" applyFont="1" applyFill="1" applyBorder="1" applyAlignment="1">
      <alignment horizontal="center"/>
    </xf>
    <xf numFmtId="165" fontId="25" fillId="7" borderId="0" xfId="0" applyNumberFormat="1" applyFont="1" applyFill="1"/>
    <xf numFmtId="0" fontId="8" fillId="3" borderId="1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2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2190750</xdr:colOff>
          <xdr:row>21</xdr:row>
          <xdr:rowOff>0</xdr:rowOff>
        </xdr:from>
        <xdr:to>
          <xdr:col>2</xdr:col>
          <xdr:colOff>3752850</xdr:colOff>
          <xdr:row>22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80"/>
                  </a:solidFill>
                  <a:latin typeface="Calibri"/>
                  <a:cs typeface="Calibri"/>
                </a:rPr>
                <a:t>Solve for CIAC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X152"/>
  <sheetViews>
    <sheetView topLeftCell="A31" zoomScale="85" zoomScaleNormal="85" workbookViewId="0">
      <selection activeCell="C40" sqref="C40"/>
    </sheetView>
  </sheetViews>
  <sheetFormatPr defaultRowHeight="12.75" x14ac:dyDescent="0.2"/>
  <cols>
    <col min="1" max="1" width="9.140625" style="15"/>
    <col min="2" max="2" width="9.140625" style="75"/>
    <col min="3" max="3" width="58.140625" style="19" customWidth="1"/>
    <col min="4" max="5" width="11.7109375" style="19" customWidth="1"/>
    <col min="6" max="6" width="13.42578125" style="19" customWidth="1"/>
    <col min="7" max="24" width="11.7109375" style="19" customWidth="1"/>
    <col min="25" max="25" width="9.140625" style="19"/>
    <col min="26" max="26" width="1.42578125" style="19" bestFit="1" customWidth="1"/>
    <col min="27" max="16384" width="9.140625" style="19"/>
  </cols>
  <sheetData>
    <row r="1" spans="1:24" ht="20.100000000000001" customHeight="1" x14ac:dyDescent="0.2">
      <c r="A1" s="134" t="s">
        <v>126</v>
      </c>
      <c r="B1" s="134"/>
    </row>
    <row r="2" spans="1:24" ht="20.100000000000001" customHeight="1" x14ac:dyDescent="0.2">
      <c r="A2" s="130" t="s">
        <v>127</v>
      </c>
      <c r="B2" s="130"/>
    </row>
    <row r="3" spans="1:24" ht="20.100000000000001" customHeight="1" thickBot="1" x14ac:dyDescent="0.25"/>
    <row r="4" spans="1:24" s="72" customFormat="1" ht="21.75" customHeight="1" thickBot="1" x14ac:dyDescent="0.25">
      <c r="A4" s="70"/>
      <c r="B4" s="131" t="s">
        <v>148</v>
      </c>
      <c r="C4" s="132"/>
      <c r="D4" s="133"/>
    </row>
    <row r="5" spans="1:24" ht="15" customHeight="1" x14ac:dyDescent="0.2">
      <c r="B5" s="73" t="s">
        <v>105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ht="5.0999999999999996" customHeight="1" x14ac:dyDescent="0.2">
      <c r="C6" s="7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</row>
    <row r="7" spans="1:24" ht="15" customHeight="1" x14ac:dyDescent="0.2">
      <c r="A7" s="76">
        <v>1</v>
      </c>
      <c r="C7" s="77" t="s">
        <v>20</v>
      </c>
      <c r="D7" s="52">
        <v>0.5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</row>
    <row r="8" spans="1:24" ht="15" customHeight="1" x14ac:dyDescent="0.2">
      <c r="A8" s="76">
        <v>2</v>
      </c>
      <c r="C8" s="78" t="s">
        <v>132</v>
      </c>
      <c r="D8" s="66">
        <f>1-D7</f>
        <v>0.5</v>
      </c>
      <c r="E8" s="74"/>
      <c r="F8" s="74"/>
      <c r="G8" s="47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</row>
    <row r="9" spans="1:24" ht="15" customHeight="1" x14ac:dyDescent="0.2">
      <c r="A9" s="76">
        <v>3</v>
      </c>
      <c r="C9" s="77" t="s">
        <v>82</v>
      </c>
      <c r="D9" s="52">
        <v>0.1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24" ht="15" customHeight="1" x14ac:dyDescent="0.2">
      <c r="A10" s="76">
        <v>4</v>
      </c>
      <c r="C10" s="77" t="s">
        <v>19</v>
      </c>
      <c r="D10" s="52">
        <v>4.4999999999999998E-2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</row>
    <row r="11" spans="1:24" ht="15" customHeight="1" x14ac:dyDescent="0.2">
      <c r="B11" s="71"/>
      <c r="C11" s="72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24" ht="15" customHeight="1" x14ac:dyDescent="0.2">
      <c r="B12" s="73" t="s">
        <v>106</v>
      </c>
      <c r="C12" s="72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</row>
    <row r="13" spans="1:24" ht="5.0999999999999996" customHeight="1" x14ac:dyDescent="0.2">
      <c r="C13" s="72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</row>
    <row r="14" spans="1:24" ht="15" customHeight="1" x14ac:dyDescent="0.2">
      <c r="A14" s="76">
        <v>5</v>
      </c>
      <c r="C14" s="79" t="s">
        <v>32</v>
      </c>
      <c r="D14" s="52">
        <v>0.38</v>
      </c>
      <c r="E14" s="80"/>
      <c r="F14" s="80"/>
      <c r="G14" s="81"/>
      <c r="H14" s="81"/>
      <c r="I14" s="81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ht="15" customHeight="1" x14ac:dyDescent="0.2">
      <c r="A15" s="76">
        <v>6</v>
      </c>
      <c r="C15" s="79" t="s">
        <v>73</v>
      </c>
      <c r="D15" s="52">
        <v>0.34</v>
      </c>
      <c r="E15" s="82" t="s">
        <v>93</v>
      </c>
      <c r="F15" s="80"/>
      <c r="G15" s="81"/>
      <c r="H15" s="81"/>
      <c r="I15" s="81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</row>
    <row r="16" spans="1:24" ht="15" customHeight="1" x14ac:dyDescent="0.2">
      <c r="A16" s="76">
        <v>7</v>
      </c>
      <c r="C16" s="77" t="s">
        <v>86</v>
      </c>
      <c r="D16" s="53">
        <v>9.1363399999999997E-3</v>
      </c>
      <c r="E16" s="80"/>
      <c r="F16" s="80"/>
      <c r="G16" s="81"/>
      <c r="H16" s="81"/>
      <c r="I16" s="81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</row>
    <row r="17" spans="1:24" ht="15" customHeight="1" x14ac:dyDescent="0.2">
      <c r="C17" s="77"/>
      <c r="D17" s="83"/>
      <c r="E17" s="80"/>
      <c r="F17" s="80"/>
      <c r="G17" s="81"/>
      <c r="H17" s="81"/>
      <c r="I17" s="81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</row>
    <row r="18" spans="1:24" ht="15" customHeight="1" x14ac:dyDescent="0.2">
      <c r="B18" s="73" t="s">
        <v>107</v>
      </c>
      <c r="E18" s="80"/>
      <c r="F18" s="80"/>
      <c r="G18" s="81"/>
      <c r="H18" s="81"/>
      <c r="I18" s="81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</row>
    <row r="19" spans="1:24" ht="5.0999999999999996" customHeight="1" x14ac:dyDescent="0.2">
      <c r="C19" s="72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 ht="15" customHeight="1" x14ac:dyDescent="0.2">
      <c r="A20" s="76">
        <v>8</v>
      </c>
      <c r="C20" s="77" t="s">
        <v>60</v>
      </c>
      <c r="D20" s="54">
        <v>1500000</v>
      </c>
      <c r="E20" s="80"/>
      <c r="F20" s="80"/>
      <c r="G20" s="80"/>
      <c r="H20" s="80"/>
      <c r="I20" s="80"/>
      <c r="J20" s="80"/>
      <c r="K20" s="80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</row>
    <row r="21" spans="1:24" ht="15" customHeight="1" x14ac:dyDescent="0.2">
      <c r="A21" s="76">
        <v>9</v>
      </c>
      <c r="C21" s="84" t="s">
        <v>69</v>
      </c>
      <c r="D21" s="54"/>
      <c r="E21" s="80"/>
      <c r="F21" s="80"/>
      <c r="G21" s="80"/>
      <c r="H21" s="80"/>
      <c r="I21" s="80"/>
      <c r="J21" s="80"/>
      <c r="K21" s="80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</row>
    <row r="22" spans="1:24" ht="15" customHeight="1" x14ac:dyDescent="0.2">
      <c r="A22" s="76">
        <v>10</v>
      </c>
      <c r="C22" s="77" t="s">
        <v>66</v>
      </c>
      <c r="D22" s="57">
        <f>+IF(G22&gt;0,G22,0)</f>
        <v>0</v>
      </c>
      <c r="E22" s="80" t="str">
        <f>IF(G22&lt;0,"No CIAC Required","")</f>
        <v>No CIAC Required</v>
      </c>
      <c r="F22" s="80"/>
      <c r="G22" s="129">
        <v>-335544.32000000001</v>
      </c>
      <c r="H22" s="80" t="s">
        <v>146</v>
      </c>
      <c r="I22" s="80"/>
      <c r="J22" s="80"/>
      <c r="K22" s="80"/>
      <c r="L22" s="81"/>
      <c r="M22" s="81"/>
      <c r="N22" s="127"/>
      <c r="O22" s="81"/>
      <c r="P22" s="81"/>
      <c r="Q22" s="81"/>
      <c r="R22" s="81"/>
      <c r="S22" s="81"/>
      <c r="T22" s="81"/>
      <c r="U22" s="81"/>
      <c r="V22" s="81"/>
      <c r="W22" s="81"/>
      <c r="X22" s="81"/>
    </row>
    <row r="23" spans="1:24" ht="15" customHeight="1" x14ac:dyDescent="0.2">
      <c r="A23" s="76">
        <v>11</v>
      </c>
      <c r="C23" s="79" t="s">
        <v>91</v>
      </c>
      <c r="D23" s="52">
        <v>0.2</v>
      </c>
      <c r="E23" s="82" t="s">
        <v>94</v>
      </c>
      <c r="F23" s="80"/>
      <c r="G23" s="81"/>
      <c r="H23" s="81"/>
      <c r="I23" s="81"/>
      <c r="J23" s="81"/>
      <c r="K23" s="81"/>
      <c r="L23" s="81"/>
      <c r="M23" s="81"/>
      <c r="N23" s="127"/>
      <c r="O23" s="81"/>
      <c r="P23" s="81"/>
      <c r="Q23" s="81"/>
      <c r="R23" s="81"/>
      <c r="S23" s="81"/>
      <c r="T23" s="81"/>
      <c r="U23" s="81"/>
      <c r="V23" s="81"/>
      <c r="W23" s="81"/>
      <c r="X23" s="81"/>
    </row>
    <row r="24" spans="1:24" ht="15" customHeight="1" x14ac:dyDescent="0.2">
      <c r="A24" s="76">
        <v>12</v>
      </c>
      <c r="C24" s="79" t="s">
        <v>144</v>
      </c>
      <c r="D24" s="57">
        <f>+D22*(1+D23)</f>
        <v>0</v>
      </c>
      <c r="E24" s="82"/>
      <c r="F24" s="80"/>
      <c r="G24" s="81"/>
      <c r="H24" s="81"/>
      <c r="I24" s="81"/>
      <c r="J24" s="81"/>
      <c r="K24" s="81"/>
      <c r="L24" s="81"/>
      <c r="M24" s="81"/>
      <c r="N24" s="127"/>
      <c r="O24" s="81"/>
      <c r="P24" s="81"/>
      <c r="Q24" s="81"/>
      <c r="R24" s="81"/>
      <c r="S24" s="81"/>
      <c r="T24" s="81"/>
      <c r="U24" s="81"/>
      <c r="V24" s="81"/>
      <c r="W24" s="81"/>
      <c r="X24" s="81"/>
    </row>
    <row r="25" spans="1:24" ht="15" customHeight="1" x14ac:dyDescent="0.2">
      <c r="A25" s="76">
        <v>13</v>
      </c>
      <c r="C25" s="79" t="s">
        <v>85</v>
      </c>
      <c r="D25" s="128">
        <f>+'20Y Model'!C42</f>
        <v>6.6099409120882635E-2</v>
      </c>
      <c r="E25" s="82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</row>
    <row r="26" spans="1:24" ht="15" customHeight="1" x14ac:dyDescent="0.2">
      <c r="E26" s="80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</row>
    <row r="27" spans="1:24" ht="15" customHeight="1" x14ac:dyDescent="0.2">
      <c r="B27" s="73" t="s">
        <v>108</v>
      </c>
      <c r="E27" s="80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</row>
    <row r="28" spans="1:24" ht="5.0999999999999996" customHeight="1" x14ac:dyDescent="0.2">
      <c r="E28" s="80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</row>
    <row r="29" spans="1:24" ht="15" customHeight="1" x14ac:dyDescent="0.2">
      <c r="A29" s="76">
        <v>14</v>
      </c>
      <c r="C29" s="77" t="s">
        <v>80</v>
      </c>
      <c r="D29" s="55">
        <v>40</v>
      </c>
      <c r="E29" s="80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</row>
    <row r="30" spans="1:24" ht="15" customHeight="1" x14ac:dyDescent="0.2">
      <c r="A30" s="76">
        <v>15</v>
      </c>
      <c r="C30" s="77" t="s">
        <v>128</v>
      </c>
      <c r="D30" s="121" t="s">
        <v>58</v>
      </c>
      <c r="E30" s="82" t="s">
        <v>129</v>
      </c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</row>
    <row r="31" spans="1:24" ht="15" customHeight="1" x14ac:dyDescent="0.2">
      <c r="A31" s="76">
        <v>16</v>
      </c>
      <c r="C31" s="84" t="s">
        <v>59</v>
      </c>
      <c r="D31" s="52">
        <v>0.4</v>
      </c>
      <c r="E31" s="80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</row>
    <row r="32" spans="1:24" ht="15" customHeight="1" x14ac:dyDescent="0.2">
      <c r="E32" s="80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</row>
    <row r="33" spans="1:24" ht="15" customHeight="1" x14ac:dyDescent="0.2">
      <c r="C33" s="85" t="s">
        <v>111</v>
      </c>
      <c r="D33" s="86"/>
      <c r="E33" s="80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</row>
    <row r="34" spans="1:24" ht="5.0999999999999996" customHeight="1" x14ac:dyDescent="0.2">
      <c r="C34" s="84"/>
      <c r="D34" s="86"/>
      <c r="E34" s="80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4" ht="15" customHeight="1" x14ac:dyDescent="0.2">
      <c r="A35" s="76">
        <v>17</v>
      </c>
      <c r="C35" s="78" t="s">
        <v>109</v>
      </c>
      <c r="D35" s="87"/>
      <c r="E35" s="56">
        <f>1/D29</f>
        <v>2.5000000000000001E-2</v>
      </c>
      <c r="F35" s="56">
        <f>IF(SUM($E$35:E35)=100%,0,E35)</f>
        <v>2.5000000000000001E-2</v>
      </c>
      <c r="G35" s="56">
        <f>IF(SUM($E$35:F35)=100%,0,F35)</f>
        <v>2.5000000000000001E-2</v>
      </c>
      <c r="H35" s="56">
        <f>IF(SUM($E$35:G35)=100%,0,G35)</f>
        <v>2.5000000000000001E-2</v>
      </c>
      <c r="I35" s="56">
        <f>IF(SUM($E$35:H35)=100%,0,H35)</f>
        <v>2.5000000000000001E-2</v>
      </c>
      <c r="J35" s="56">
        <f>IF(SUM($E$35:I35)=100%,0,I35)</f>
        <v>2.5000000000000001E-2</v>
      </c>
      <c r="K35" s="56">
        <f>IF(SUM($E$35:J35)=100%,0,J35)</f>
        <v>2.5000000000000001E-2</v>
      </c>
      <c r="L35" s="56">
        <f>IF(SUM($E$35:K35)=100%,0,K35)</f>
        <v>2.5000000000000001E-2</v>
      </c>
      <c r="M35" s="56">
        <f>IF(SUM($E$35:L35)=100%,0,L35)</f>
        <v>2.5000000000000001E-2</v>
      </c>
      <c r="N35" s="56">
        <f>IF(SUM($E$35:M35)=100%,0,M35)</f>
        <v>2.5000000000000001E-2</v>
      </c>
      <c r="O35" s="56">
        <f>IF(SUM($E$35:N35)=100%,0,N35)</f>
        <v>2.5000000000000001E-2</v>
      </c>
      <c r="P35" s="56">
        <f>IF(SUM($E$35:O35)=100%,0,O35)</f>
        <v>2.5000000000000001E-2</v>
      </c>
      <c r="Q35" s="56">
        <f>IF(SUM($E$35:P35)=100%,0,P35)</f>
        <v>2.5000000000000001E-2</v>
      </c>
      <c r="R35" s="56">
        <f>IF(SUM($E$35:Q35)=100%,0,Q35)</f>
        <v>2.5000000000000001E-2</v>
      </c>
      <c r="S35" s="56">
        <f>IF(SUM($E$35:R35)=100%,0,R35)</f>
        <v>2.5000000000000001E-2</v>
      </c>
      <c r="T35" s="56">
        <f>IF(SUM($E$35:S35)=100%,0,S35)</f>
        <v>2.5000000000000001E-2</v>
      </c>
      <c r="U35" s="56">
        <f>IF(SUM($E$35:T35)=100%,0,T35)</f>
        <v>2.5000000000000001E-2</v>
      </c>
      <c r="V35" s="56">
        <f>IF(SUM($E$35:U35)=100%,0,U35)</f>
        <v>2.5000000000000001E-2</v>
      </c>
      <c r="W35" s="56">
        <f>IF(SUM($E$35:V35)=100%,0,V35)</f>
        <v>2.5000000000000001E-2</v>
      </c>
      <c r="X35" s="56">
        <f>IF(SUM($E$35:W35)=100%,0,W35)</f>
        <v>2.5000000000000001E-2</v>
      </c>
    </row>
    <row r="36" spans="1:24" ht="15" customHeight="1" x14ac:dyDescent="0.2">
      <c r="A36" s="76">
        <v>18</v>
      </c>
      <c r="C36" s="78" t="s">
        <v>110</v>
      </c>
      <c r="D36" s="87"/>
      <c r="E36" s="56">
        <f t="shared" ref="E36:X36" si="0">VLOOKUP($D30,$D$48:$X$53,E46,FALSE)*(1-$D$31)</f>
        <v>2.2499999999999999E-2</v>
      </c>
      <c r="F36" s="56">
        <f t="shared" si="0"/>
        <v>4.3313999999999998E-2</v>
      </c>
      <c r="G36" s="56">
        <f t="shared" si="0"/>
        <v>4.0061999999999993E-2</v>
      </c>
      <c r="H36" s="56">
        <f t="shared" si="0"/>
        <v>3.7061999999999998E-2</v>
      </c>
      <c r="I36" s="56">
        <f t="shared" si="0"/>
        <v>3.4277999999999996E-2</v>
      </c>
      <c r="J36" s="56">
        <f t="shared" si="0"/>
        <v>3.1710000000000002E-2</v>
      </c>
      <c r="K36" s="56">
        <f t="shared" si="0"/>
        <v>2.9328E-2</v>
      </c>
      <c r="L36" s="56">
        <f t="shared" si="0"/>
        <v>2.7132E-2</v>
      </c>
      <c r="M36" s="56">
        <f t="shared" si="0"/>
        <v>2.6772000000000001E-2</v>
      </c>
      <c r="N36" s="56">
        <f t="shared" si="0"/>
        <v>2.6765999999999998E-2</v>
      </c>
      <c r="O36" s="56">
        <f t="shared" si="0"/>
        <v>2.6772000000000001E-2</v>
      </c>
      <c r="P36" s="56">
        <f t="shared" si="0"/>
        <v>2.6765999999999998E-2</v>
      </c>
      <c r="Q36" s="56">
        <f t="shared" si="0"/>
        <v>2.6772000000000001E-2</v>
      </c>
      <c r="R36" s="56">
        <f t="shared" si="0"/>
        <v>2.6765999999999998E-2</v>
      </c>
      <c r="S36" s="56">
        <f t="shared" si="0"/>
        <v>2.6772000000000001E-2</v>
      </c>
      <c r="T36" s="56">
        <f t="shared" si="0"/>
        <v>2.6765999999999998E-2</v>
      </c>
      <c r="U36" s="56">
        <f t="shared" si="0"/>
        <v>2.6772000000000001E-2</v>
      </c>
      <c r="V36" s="56">
        <f t="shared" si="0"/>
        <v>2.6765999999999998E-2</v>
      </c>
      <c r="W36" s="56">
        <f t="shared" si="0"/>
        <v>2.6772000000000001E-2</v>
      </c>
      <c r="X36" s="56">
        <f t="shared" si="0"/>
        <v>2.6765999999999998E-2</v>
      </c>
    </row>
    <row r="37" spans="1:24" ht="15" customHeight="1" x14ac:dyDescent="0.2">
      <c r="A37" s="76">
        <v>19</v>
      </c>
      <c r="C37" s="88" t="s">
        <v>67</v>
      </c>
      <c r="D37" s="57">
        <f>D20-D21-D22</f>
        <v>1500000</v>
      </c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</row>
    <row r="38" spans="1:24" ht="15" customHeight="1" x14ac:dyDescent="0.2">
      <c r="A38" s="76">
        <v>20</v>
      </c>
      <c r="C38" s="88" t="s">
        <v>70</v>
      </c>
      <c r="D38" s="57">
        <f>D20-D21</f>
        <v>1500000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1:24" ht="15" customHeight="1" x14ac:dyDescent="0.2">
      <c r="A39" s="76">
        <v>21</v>
      </c>
      <c r="C39" s="88" t="s">
        <v>71</v>
      </c>
      <c r="D39" s="90"/>
      <c r="E39" s="58">
        <f>(D31+E36)*D38</f>
        <v>633750.00000000012</v>
      </c>
      <c r="F39" s="58">
        <f t="shared" ref="F39:X39" si="1">$D38*F36</f>
        <v>64971</v>
      </c>
      <c r="G39" s="58">
        <f t="shared" si="1"/>
        <v>60092.999999999993</v>
      </c>
      <c r="H39" s="58">
        <f t="shared" si="1"/>
        <v>55593</v>
      </c>
      <c r="I39" s="58">
        <f t="shared" si="1"/>
        <v>51416.999999999993</v>
      </c>
      <c r="J39" s="58">
        <f t="shared" si="1"/>
        <v>47565</v>
      </c>
      <c r="K39" s="58">
        <f t="shared" si="1"/>
        <v>43992</v>
      </c>
      <c r="L39" s="58">
        <f t="shared" si="1"/>
        <v>40698</v>
      </c>
      <c r="M39" s="58">
        <f t="shared" si="1"/>
        <v>40158</v>
      </c>
      <c r="N39" s="58">
        <f t="shared" si="1"/>
        <v>40149</v>
      </c>
      <c r="O39" s="58">
        <f t="shared" si="1"/>
        <v>40158</v>
      </c>
      <c r="P39" s="58">
        <f t="shared" si="1"/>
        <v>40149</v>
      </c>
      <c r="Q39" s="58">
        <f t="shared" si="1"/>
        <v>40158</v>
      </c>
      <c r="R39" s="58">
        <f t="shared" si="1"/>
        <v>40149</v>
      </c>
      <c r="S39" s="58">
        <f t="shared" si="1"/>
        <v>40158</v>
      </c>
      <c r="T39" s="58">
        <f t="shared" si="1"/>
        <v>40149</v>
      </c>
      <c r="U39" s="58">
        <f t="shared" si="1"/>
        <v>40158</v>
      </c>
      <c r="V39" s="58">
        <f t="shared" si="1"/>
        <v>40149</v>
      </c>
      <c r="W39" s="58">
        <f t="shared" si="1"/>
        <v>40158</v>
      </c>
      <c r="X39" s="58">
        <f t="shared" si="1"/>
        <v>40149</v>
      </c>
    </row>
    <row r="40" spans="1:24" ht="15" customHeight="1" x14ac:dyDescent="0.2">
      <c r="A40" s="76">
        <v>22</v>
      </c>
      <c r="C40" s="88" t="s">
        <v>74</v>
      </c>
      <c r="D40" s="90"/>
      <c r="E40" s="58">
        <f t="shared" ref="E40:X40" si="2">$D$38*(E$36/(1-$D$31))</f>
        <v>56250</v>
      </c>
      <c r="F40" s="58">
        <f t="shared" si="2"/>
        <v>108285</v>
      </c>
      <c r="G40" s="58">
        <f t="shared" si="2"/>
        <v>100155</v>
      </c>
      <c r="H40" s="58">
        <f t="shared" si="2"/>
        <v>92655</v>
      </c>
      <c r="I40" s="58">
        <f t="shared" si="2"/>
        <v>85694.999999999985</v>
      </c>
      <c r="J40" s="58">
        <f t="shared" si="2"/>
        <v>79275.000000000015</v>
      </c>
      <c r="K40" s="58">
        <f t="shared" si="2"/>
        <v>73320</v>
      </c>
      <c r="L40" s="58">
        <f t="shared" si="2"/>
        <v>67830</v>
      </c>
      <c r="M40" s="58">
        <f t="shared" si="2"/>
        <v>66930</v>
      </c>
      <c r="N40" s="58">
        <f t="shared" si="2"/>
        <v>66915</v>
      </c>
      <c r="O40" s="58">
        <f t="shared" si="2"/>
        <v>66930</v>
      </c>
      <c r="P40" s="58">
        <f t="shared" si="2"/>
        <v>66915</v>
      </c>
      <c r="Q40" s="58">
        <f t="shared" si="2"/>
        <v>66930</v>
      </c>
      <c r="R40" s="58">
        <f t="shared" si="2"/>
        <v>66915</v>
      </c>
      <c r="S40" s="58">
        <f t="shared" si="2"/>
        <v>66930</v>
      </c>
      <c r="T40" s="58">
        <f t="shared" si="2"/>
        <v>66915</v>
      </c>
      <c r="U40" s="58">
        <f t="shared" si="2"/>
        <v>66930</v>
      </c>
      <c r="V40" s="58">
        <f t="shared" si="2"/>
        <v>66915</v>
      </c>
      <c r="W40" s="58">
        <f t="shared" si="2"/>
        <v>66930</v>
      </c>
      <c r="X40" s="58">
        <f t="shared" si="2"/>
        <v>66915</v>
      </c>
    </row>
    <row r="41" spans="1:24" ht="15" customHeight="1" x14ac:dyDescent="0.2">
      <c r="A41" s="76">
        <v>23</v>
      </c>
      <c r="C41" s="88" t="s">
        <v>75</v>
      </c>
      <c r="D41" s="90"/>
      <c r="E41" s="58">
        <f t="shared" ref="E41:X41" si="3">E39-E40</f>
        <v>577500.00000000012</v>
      </c>
      <c r="F41" s="58">
        <f t="shared" si="3"/>
        <v>-43314</v>
      </c>
      <c r="G41" s="58">
        <f t="shared" si="3"/>
        <v>-40062.000000000007</v>
      </c>
      <c r="H41" s="58">
        <f t="shared" si="3"/>
        <v>-37062</v>
      </c>
      <c r="I41" s="58">
        <f t="shared" si="3"/>
        <v>-34277.999999999993</v>
      </c>
      <c r="J41" s="58">
        <f t="shared" si="3"/>
        <v>-31710.000000000015</v>
      </c>
      <c r="K41" s="58">
        <f t="shared" si="3"/>
        <v>-29328</v>
      </c>
      <c r="L41" s="58">
        <f t="shared" si="3"/>
        <v>-27132</v>
      </c>
      <c r="M41" s="58">
        <f t="shared" si="3"/>
        <v>-26772</v>
      </c>
      <c r="N41" s="58">
        <f t="shared" si="3"/>
        <v>-26766</v>
      </c>
      <c r="O41" s="58">
        <f t="shared" si="3"/>
        <v>-26772</v>
      </c>
      <c r="P41" s="58">
        <f t="shared" si="3"/>
        <v>-26766</v>
      </c>
      <c r="Q41" s="58">
        <f t="shared" si="3"/>
        <v>-26772</v>
      </c>
      <c r="R41" s="58">
        <f t="shared" si="3"/>
        <v>-26766</v>
      </c>
      <c r="S41" s="58">
        <f t="shared" si="3"/>
        <v>-26772</v>
      </c>
      <c r="T41" s="58">
        <f t="shared" si="3"/>
        <v>-26766</v>
      </c>
      <c r="U41" s="58">
        <f t="shared" si="3"/>
        <v>-26772</v>
      </c>
      <c r="V41" s="58">
        <f t="shared" si="3"/>
        <v>-26766</v>
      </c>
      <c r="W41" s="58">
        <f t="shared" si="3"/>
        <v>-26772</v>
      </c>
      <c r="X41" s="58">
        <f t="shared" si="3"/>
        <v>-26766</v>
      </c>
    </row>
    <row r="42" spans="1:24" ht="15" customHeight="1" x14ac:dyDescent="0.2">
      <c r="A42" s="76">
        <v>24</v>
      </c>
      <c r="C42" s="88" t="s">
        <v>72</v>
      </c>
      <c r="D42" s="90"/>
      <c r="E42" s="58">
        <f t="shared" ref="E42:X42" si="4">$D37*E35</f>
        <v>37500</v>
      </c>
      <c r="F42" s="58">
        <f t="shared" si="4"/>
        <v>37500</v>
      </c>
      <c r="G42" s="58">
        <f t="shared" si="4"/>
        <v>37500</v>
      </c>
      <c r="H42" s="58">
        <f t="shared" si="4"/>
        <v>37500</v>
      </c>
      <c r="I42" s="58">
        <f t="shared" si="4"/>
        <v>37500</v>
      </c>
      <c r="J42" s="58">
        <f t="shared" si="4"/>
        <v>37500</v>
      </c>
      <c r="K42" s="58">
        <f t="shared" si="4"/>
        <v>37500</v>
      </c>
      <c r="L42" s="58">
        <f t="shared" si="4"/>
        <v>37500</v>
      </c>
      <c r="M42" s="58">
        <f t="shared" si="4"/>
        <v>37500</v>
      </c>
      <c r="N42" s="58">
        <f t="shared" si="4"/>
        <v>37500</v>
      </c>
      <c r="O42" s="58">
        <f t="shared" si="4"/>
        <v>37500</v>
      </c>
      <c r="P42" s="58">
        <f t="shared" si="4"/>
        <v>37500</v>
      </c>
      <c r="Q42" s="58">
        <f t="shared" si="4"/>
        <v>37500</v>
      </c>
      <c r="R42" s="58">
        <f t="shared" si="4"/>
        <v>37500</v>
      </c>
      <c r="S42" s="58">
        <f t="shared" si="4"/>
        <v>37500</v>
      </c>
      <c r="T42" s="58">
        <f t="shared" si="4"/>
        <v>37500</v>
      </c>
      <c r="U42" s="58">
        <f t="shared" si="4"/>
        <v>37500</v>
      </c>
      <c r="V42" s="58">
        <f t="shared" si="4"/>
        <v>37500</v>
      </c>
      <c r="W42" s="58">
        <f t="shared" si="4"/>
        <v>37500</v>
      </c>
      <c r="X42" s="58">
        <f t="shared" si="4"/>
        <v>37500</v>
      </c>
    </row>
    <row r="43" spans="1:24" ht="15" customHeight="1" x14ac:dyDescent="0.2">
      <c r="C43" s="84"/>
      <c r="D43" s="9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s="31" customFormat="1" ht="15" customHeight="1" x14ac:dyDescent="0.2">
      <c r="A44" s="76">
        <v>25</v>
      </c>
      <c r="B44" s="75"/>
      <c r="C44" s="79" t="s">
        <v>76</v>
      </c>
      <c r="D44" s="93"/>
      <c r="E44" s="50">
        <f>((E40-E42)*$D$14)+(E41*$D$15)-($D$22*$D$14)</f>
        <v>203475.00000000006</v>
      </c>
      <c r="F44" s="50">
        <f t="shared" ref="F44:X44" si="5">((F40-F42)*$D$14)+(F41*$D$15)</f>
        <v>12171.539999999999</v>
      </c>
      <c r="G44" s="50">
        <f t="shared" si="5"/>
        <v>10187.819999999998</v>
      </c>
      <c r="H44" s="50">
        <f t="shared" si="5"/>
        <v>8357.82</v>
      </c>
      <c r="I44" s="50">
        <f t="shared" si="5"/>
        <v>6659.5799999999963</v>
      </c>
      <c r="J44" s="50">
        <f t="shared" si="5"/>
        <v>5093.1000000000004</v>
      </c>
      <c r="K44" s="50">
        <f t="shared" si="5"/>
        <v>3640.08</v>
      </c>
      <c r="L44" s="50">
        <f t="shared" si="5"/>
        <v>2300.5199999999986</v>
      </c>
      <c r="M44" s="50">
        <f t="shared" si="5"/>
        <v>2080.9199999999983</v>
      </c>
      <c r="N44" s="50">
        <f t="shared" si="5"/>
        <v>2077.2600000000002</v>
      </c>
      <c r="O44" s="50">
        <f t="shared" si="5"/>
        <v>2080.9199999999983</v>
      </c>
      <c r="P44" s="50">
        <f t="shared" si="5"/>
        <v>2077.2600000000002</v>
      </c>
      <c r="Q44" s="50">
        <f t="shared" si="5"/>
        <v>2080.9199999999983</v>
      </c>
      <c r="R44" s="50">
        <f t="shared" si="5"/>
        <v>2077.2600000000002</v>
      </c>
      <c r="S44" s="50">
        <f t="shared" si="5"/>
        <v>2080.9199999999983</v>
      </c>
      <c r="T44" s="50">
        <f t="shared" si="5"/>
        <v>2077.2600000000002</v>
      </c>
      <c r="U44" s="50">
        <f t="shared" si="5"/>
        <v>2080.9199999999983</v>
      </c>
      <c r="V44" s="50">
        <f t="shared" si="5"/>
        <v>2077.2600000000002</v>
      </c>
      <c r="W44" s="50">
        <f t="shared" si="5"/>
        <v>2080.9199999999983</v>
      </c>
      <c r="X44" s="50">
        <f t="shared" si="5"/>
        <v>2077.2600000000002</v>
      </c>
    </row>
    <row r="45" spans="1:24" s="31" customFormat="1" ht="15" customHeight="1" x14ac:dyDescent="0.2">
      <c r="A45" s="76"/>
      <c r="B45" s="75"/>
      <c r="C45" s="94"/>
      <c r="D45" s="9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</row>
    <row r="46" spans="1:24" s="31" customFormat="1" ht="15" customHeight="1" x14ac:dyDescent="0.2">
      <c r="A46" s="76"/>
      <c r="B46" s="75"/>
      <c r="C46" s="73" t="s">
        <v>92</v>
      </c>
      <c r="D46" s="96" t="s">
        <v>124</v>
      </c>
      <c r="E46" s="97">
        <v>2</v>
      </c>
      <c r="F46" s="97">
        <v>3</v>
      </c>
      <c r="G46" s="97">
        <v>4</v>
      </c>
      <c r="H46" s="97">
        <v>5</v>
      </c>
      <c r="I46" s="97">
        <v>6</v>
      </c>
      <c r="J46" s="97">
        <v>7</v>
      </c>
      <c r="K46" s="97">
        <v>8</v>
      </c>
      <c r="L46" s="97">
        <v>9</v>
      </c>
      <c r="M46" s="97">
        <v>10</v>
      </c>
      <c r="N46" s="97">
        <v>11</v>
      </c>
      <c r="O46" s="97">
        <v>12</v>
      </c>
      <c r="P46" s="97">
        <v>13</v>
      </c>
      <c r="Q46" s="97">
        <v>14</v>
      </c>
      <c r="R46" s="97">
        <v>15</v>
      </c>
      <c r="S46" s="97">
        <v>16</v>
      </c>
      <c r="T46" s="97">
        <v>17</v>
      </c>
      <c r="U46" s="97">
        <v>18</v>
      </c>
      <c r="V46" s="97">
        <v>19</v>
      </c>
      <c r="W46" s="97">
        <v>20</v>
      </c>
      <c r="X46" s="97">
        <v>21</v>
      </c>
    </row>
    <row r="47" spans="1:24" s="31" customFormat="1" ht="15" customHeight="1" x14ac:dyDescent="0.2">
      <c r="A47" s="76"/>
      <c r="B47" s="75"/>
      <c r="C47" s="19"/>
      <c r="D47" s="19"/>
      <c r="E47" s="75" t="s">
        <v>33</v>
      </c>
      <c r="F47" s="75" t="s">
        <v>34</v>
      </c>
      <c r="G47" s="75" t="s">
        <v>35</v>
      </c>
      <c r="H47" s="75" t="s">
        <v>36</v>
      </c>
      <c r="I47" s="75" t="s">
        <v>37</v>
      </c>
      <c r="J47" s="75" t="s">
        <v>38</v>
      </c>
      <c r="K47" s="75" t="s">
        <v>39</v>
      </c>
      <c r="L47" s="75" t="s">
        <v>40</v>
      </c>
      <c r="M47" s="75" t="s">
        <v>41</v>
      </c>
      <c r="N47" s="75" t="s">
        <v>42</v>
      </c>
      <c r="O47" s="75" t="s">
        <v>43</v>
      </c>
      <c r="P47" s="75" t="s">
        <v>44</v>
      </c>
      <c r="Q47" s="75" t="s">
        <v>45</v>
      </c>
      <c r="R47" s="75" t="s">
        <v>46</v>
      </c>
      <c r="S47" s="75" t="s">
        <v>47</v>
      </c>
      <c r="T47" s="75" t="s">
        <v>48</v>
      </c>
      <c r="U47" s="75" t="s">
        <v>49</v>
      </c>
      <c r="V47" s="75" t="s">
        <v>50</v>
      </c>
      <c r="W47" s="75" t="s">
        <v>51</v>
      </c>
      <c r="X47" s="75" t="s">
        <v>52</v>
      </c>
    </row>
    <row r="48" spans="1:24" s="31" customFormat="1" ht="15" customHeight="1" x14ac:dyDescent="0.2">
      <c r="A48" s="76">
        <v>26</v>
      </c>
      <c r="B48" s="75"/>
      <c r="C48" s="19"/>
      <c r="D48" s="98" t="s">
        <v>53</v>
      </c>
      <c r="E48" s="63">
        <f>1/3</f>
        <v>0.33333333333333331</v>
      </c>
      <c r="F48" s="63">
        <f>0.4445</f>
        <v>0.44450000000000001</v>
      </c>
      <c r="G48" s="63">
        <f>0.1481</f>
        <v>0.14810000000000001</v>
      </c>
      <c r="H48" s="63">
        <f>1-(SUM(E48:G48))</f>
        <v>7.4066666666666614E-2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</row>
    <row r="49" spans="1:24" s="31" customFormat="1" ht="15" customHeight="1" x14ac:dyDescent="0.2">
      <c r="A49" s="76">
        <v>27</v>
      </c>
      <c r="B49" s="75"/>
      <c r="C49" s="19"/>
      <c r="D49" s="98" t="s">
        <v>54</v>
      </c>
      <c r="E49" s="63">
        <v>0.2</v>
      </c>
      <c r="F49" s="63">
        <v>0.32</v>
      </c>
      <c r="G49" s="63">
        <v>0.192</v>
      </c>
      <c r="H49" s="63">
        <v>0.1152</v>
      </c>
      <c r="I49" s="63">
        <v>0.1152</v>
      </c>
      <c r="J49" s="63">
        <v>5.7599999999999998E-2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</row>
    <row r="50" spans="1:24" s="31" customFormat="1" ht="15" customHeight="1" x14ac:dyDescent="0.2">
      <c r="A50" s="76">
        <v>28</v>
      </c>
      <c r="B50" s="75"/>
      <c r="C50" s="19"/>
      <c r="D50" s="98" t="s">
        <v>55</v>
      </c>
      <c r="E50" s="63">
        <v>0.1429</v>
      </c>
      <c r="F50" s="63">
        <v>0.24490000000000001</v>
      </c>
      <c r="G50" s="63">
        <v>0.1749</v>
      </c>
      <c r="H50" s="63">
        <v>0.1249</v>
      </c>
      <c r="I50" s="63">
        <v>8.9300000000000004E-2</v>
      </c>
      <c r="J50" s="63">
        <v>8.9200000000000002E-2</v>
      </c>
      <c r="K50" s="63">
        <v>8.9300000000000004E-2</v>
      </c>
      <c r="L50" s="63">
        <v>4.4600000000000001E-2</v>
      </c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</row>
    <row r="51" spans="1:24" s="31" customFormat="1" ht="15" customHeight="1" x14ac:dyDescent="0.2">
      <c r="A51" s="76">
        <v>29</v>
      </c>
      <c r="B51" s="75"/>
      <c r="C51" s="19"/>
      <c r="D51" s="98" t="s">
        <v>56</v>
      </c>
      <c r="E51" s="63">
        <v>0.1</v>
      </c>
      <c r="F51" s="63">
        <v>0.18</v>
      </c>
      <c r="G51" s="63">
        <v>0.14399999999999999</v>
      </c>
      <c r="H51" s="63">
        <v>0.1152</v>
      </c>
      <c r="I51" s="63">
        <v>9.2200000000000004E-2</v>
      </c>
      <c r="J51" s="63">
        <v>7.3700000000000002E-2</v>
      </c>
      <c r="K51" s="63">
        <v>6.5500000000000003E-2</v>
      </c>
      <c r="L51" s="63">
        <v>6.5500000000000003E-2</v>
      </c>
      <c r="M51" s="63">
        <v>6.5600000000000006E-2</v>
      </c>
      <c r="N51" s="63">
        <v>6.5500000000000003E-2</v>
      </c>
      <c r="O51" s="63">
        <v>3.2800000000000003E-2</v>
      </c>
      <c r="P51" s="63"/>
      <c r="Q51" s="63"/>
      <c r="R51" s="63"/>
      <c r="S51" s="63"/>
      <c r="T51" s="63"/>
      <c r="U51" s="63"/>
      <c r="V51" s="63"/>
      <c r="W51" s="63"/>
      <c r="X51" s="63"/>
    </row>
    <row r="52" spans="1:24" s="31" customFormat="1" ht="15" customHeight="1" x14ac:dyDescent="0.2">
      <c r="A52" s="76">
        <v>30</v>
      </c>
      <c r="B52" s="75"/>
      <c r="C52" s="19"/>
      <c r="D52" s="98" t="s">
        <v>57</v>
      </c>
      <c r="E52" s="63">
        <v>0.05</v>
      </c>
      <c r="F52" s="63">
        <v>9.5000000000000001E-2</v>
      </c>
      <c r="G52" s="63">
        <v>8.5500000000000007E-2</v>
      </c>
      <c r="H52" s="63">
        <v>7.6999999999999999E-2</v>
      </c>
      <c r="I52" s="63">
        <v>6.93E-2</v>
      </c>
      <c r="J52" s="63">
        <v>6.2300000000000001E-2</v>
      </c>
      <c r="K52" s="63">
        <v>5.8999999999999997E-2</v>
      </c>
      <c r="L52" s="63">
        <v>5.8999999999999997E-2</v>
      </c>
      <c r="M52" s="63">
        <v>5.91E-2</v>
      </c>
      <c r="N52" s="63">
        <v>5.8999999999999997E-2</v>
      </c>
      <c r="O52" s="63">
        <v>5.91E-2</v>
      </c>
      <c r="P52" s="63">
        <v>5.8999999999999997E-2</v>
      </c>
      <c r="Q52" s="63">
        <v>5.91E-2</v>
      </c>
      <c r="R52" s="63">
        <v>5.8999999999999997E-2</v>
      </c>
      <c r="S52" s="63">
        <v>5.91E-2</v>
      </c>
      <c r="T52" s="63">
        <v>2.9499999999999998E-2</v>
      </c>
      <c r="U52" s="63"/>
      <c r="V52" s="63"/>
      <c r="W52" s="63"/>
      <c r="X52" s="63"/>
    </row>
    <row r="53" spans="1:24" s="31" customFormat="1" ht="15" customHeight="1" x14ac:dyDescent="0.2">
      <c r="A53" s="76">
        <v>31</v>
      </c>
      <c r="B53" s="75"/>
      <c r="C53" s="19"/>
      <c r="D53" s="98" t="s">
        <v>58</v>
      </c>
      <c r="E53" s="63">
        <v>3.7499999999999999E-2</v>
      </c>
      <c r="F53" s="63">
        <v>7.2190000000000004E-2</v>
      </c>
      <c r="G53" s="63">
        <v>6.6769999999999996E-2</v>
      </c>
      <c r="H53" s="63">
        <v>6.1769999999999999E-2</v>
      </c>
      <c r="I53" s="63">
        <v>5.713E-2</v>
      </c>
      <c r="J53" s="63">
        <v>5.2850000000000001E-2</v>
      </c>
      <c r="K53" s="63">
        <v>4.888E-2</v>
      </c>
      <c r="L53" s="63">
        <v>4.5220000000000003E-2</v>
      </c>
      <c r="M53" s="63">
        <v>4.462E-2</v>
      </c>
      <c r="N53" s="63">
        <v>4.4609999999999997E-2</v>
      </c>
      <c r="O53" s="63">
        <v>4.462E-2</v>
      </c>
      <c r="P53" s="63">
        <v>4.4609999999999997E-2</v>
      </c>
      <c r="Q53" s="63">
        <v>4.462E-2</v>
      </c>
      <c r="R53" s="63">
        <v>4.4609999999999997E-2</v>
      </c>
      <c r="S53" s="63">
        <v>4.462E-2</v>
      </c>
      <c r="T53" s="63">
        <v>4.4609999999999997E-2</v>
      </c>
      <c r="U53" s="63">
        <v>4.462E-2</v>
      </c>
      <c r="V53" s="63">
        <v>4.4609999999999997E-2</v>
      </c>
      <c r="W53" s="63">
        <v>4.462E-2</v>
      </c>
      <c r="X53" s="63">
        <v>4.4609999999999997E-2</v>
      </c>
    </row>
    <row r="54" spans="1:24" s="31" customFormat="1" ht="15" customHeight="1" x14ac:dyDescent="0.2">
      <c r="A54" s="15"/>
      <c r="B54" s="75"/>
      <c r="C54" s="94"/>
      <c r="D54" s="93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</row>
    <row r="55" spans="1:24" ht="15" customHeight="1" x14ac:dyDescent="0.2">
      <c r="B55" s="73" t="s">
        <v>112</v>
      </c>
      <c r="C55" s="84"/>
      <c r="D55" s="86"/>
      <c r="E55" s="80"/>
      <c r="F55" s="80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4" ht="5.0999999999999996" customHeight="1" x14ac:dyDescent="0.2">
      <c r="C56" s="84"/>
      <c r="D56" s="86"/>
      <c r="E56" s="80"/>
      <c r="F56" s="80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1:24" ht="15" customHeight="1" x14ac:dyDescent="0.2">
      <c r="C57" s="125" t="s">
        <v>149</v>
      </c>
      <c r="D57" s="9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24" ht="15" customHeight="1" x14ac:dyDescent="0.2">
      <c r="A58" s="76">
        <v>32</v>
      </c>
      <c r="C58" s="101" t="s">
        <v>78</v>
      </c>
      <c r="D58" s="99"/>
      <c r="E58" s="126">
        <v>1</v>
      </c>
      <c r="F58" s="126">
        <v>1</v>
      </c>
      <c r="G58" s="126">
        <v>1</v>
      </c>
      <c r="H58" s="126">
        <v>1</v>
      </c>
      <c r="I58" s="126">
        <v>1</v>
      </c>
      <c r="J58" s="126">
        <v>1</v>
      </c>
      <c r="K58" s="126">
        <v>1</v>
      </c>
      <c r="L58" s="126">
        <v>1</v>
      </c>
      <c r="M58" s="126">
        <v>1</v>
      </c>
      <c r="N58" s="126">
        <v>1</v>
      </c>
      <c r="O58" s="126">
        <v>1</v>
      </c>
      <c r="P58" s="126">
        <v>1</v>
      </c>
      <c r="Q58" s="126">
        <v>1</v>
      </c>
      <c r="R58" s="126">
        <v>1</v>
      </c>
      <c r="S58" s="126">
        <v>1</v>
      </c>
      <c r="T58" s="126">
        <v>1</v>
      </c>
      <c r="U58" s="126">
        <v>1</v>
      </c>
      <c r="V58" s="126">
        <v>1</v>
      </c>
      <c r="W58" s="126">
        <v>1</v>
      </c>
      <c r="X58" s="126">
        <v>1</v>
      </c>
    </row>
    <row r="59" spans="1:24" ht="15" customHeight="1" x14ac:dyDescent="0.2">
      <c r="A59" s="76">
        <v>33</v>
      </c>
      <c r="C59" s="101" t="s">
        <v>99</v>
      </c>
      <c r="D59" s="99"/>
      <c r="E59" s="126">
        <v>5640000</v>
      </c>
      <c r="F59" s="126">
        <f t="shared" ref="F59" si="6">E59</f>
        <v>5640000</v>
      </c>
      <c r="G59" s="126">
        <v>7840000</v>
      </c>
      <c r="H59" s="126">
        <f t="shared" ref="H59" si="7">G59</f>
        <v>7840000</v>
      </c>
      <c r="I59" s="126">
        <f t="shared" ref="I59" si="8">H59</f>
        <v>7840000</v>
      </c>
      <c r="J59" s="126">
        <f t="shared" ref="J59" si="9">I59</f>
        <v>7840000</v>
      </c>
      <c r="K59" s="126">
        <f t="shared" ref="K59" si="10">J59</f>
        <v>7840000</v>
      </c>
      <c r="L59" s="126">
        <f t="shared" ref="L59" si="11">K59</f>
        <v>7840000</v>
      </c>
      <c r="M59" s="126">
        <f t="shared" ref="M59" si="12">L59</f>
        <v>7840000</v>
      </c>
      <c r="N59" s="126">
        <f t="shared" ref="N59" si="13">M59</f>
        <v>7840000</v>
      </c>
      <c r="O59" s="126">
        <f t="shared" ref="O59" si="14">N59</f>
        <v>7840000</v>
      </c>
      <c r="P59" s="126">
        <f t="shared" ref="P59" si="15">O59</f>
        <v>7840000</v>
      </c>
      <c r="Q59" s="126">
        <f t="shared" ref="Q59" si="16">P59</f>
        <v>7840000</v>
      </c>
      <c r="R59" s="126">
        <f t="shared" ref="R59" si="17">Q59</f>
        <v>7840000</v>
      </c>
      <c r="S59" s="126">
        <f t="shared" ref="S59" si="18">R59</f>
        <v>7840000</v>
      </c>
      <c r="T59" s="126">
        <f t="shared" ref="T59" si="19">S59</f>
        <v>7840000</v>
      </c>
      <c r="U59" s="126">
        <f t="shared" ref="U59" si="20">T59</f>
        <v>7840000</v>
      </c>
      <c r="V59" s="126">
        <f t="shared" ref="V59" si="21">U59</f>
        <v>7840000</v>
      </c>
      <c r="W59" s="126">
        <f t="shared" ref="W59" si="22">V59</f>
        <v>7840000</v>
      </c>
      <c r="X59" s="126">
        <f t="shared" ref="X59" si="23">W59</f>
        <v>7840000</v>
      </c>
    </row>
    <row r="60" spans="1:24" ht="15" customHeight="1" x14ac:dyDescent="0.2">
      <c r="A60" s="76">
        <v>34</v>
      </c>
      <c r="C60" s="101" t="s">
        <v>130</v>
      </c>
      <c r="D60" s="99"/>
      <c r="E60" s="61">
        <v>2.3460000000000002E-2</v>
      </c>
      <c r="F60" s="122">
        <f t="shared" ref="F60:X60" si="24">E60</f>
        <v>2.3460000000000002E-2</v>
      </c>
      <c r="G60" s="122">
        <f t="shared" si="24"/>
        <v>2.3460000000000002E-2</v>
      </c>
      <c r="H60" s="122">
        <f t="shared" si="24"/>
        <v>2.3460000000000002E-2</v>
      </c>
      <c r="I60" s="122">
        <f t="shared" si="24"/>
        <v>2.3460000000000002E-2</v>
      </c>
      <c r="J60" s="122">
        <f t="shared" si="24"/>
        <v>2.3460000000000002E-2</v>
      </c>
      <c r="K60" s="122">
        <f t="shared" si="24"/>
        <v>2.3460000000000002E-2</v>
      </c>
      <c r="L60" s="122">
        <f t="shared" si="24"/>
        <v>2.3460000000000002E-2</v>
      </c>
      <c r="M60" s="122">
        <f t="shared" si="24"/>
        <v>2.3460000000000002E-2</v>
      </c>
      <c r="N60" s="122">
        <f t="shared" si="24"/>
        <v>2.3460000000000002E-2</v>
      </c>
      <c r="O60" s="122">
        <f t="shared" si="24"/>
        <v>2.3460000000000002E-2</v>
      </c>
      <c r="P60" s="122">
        <f t="shared" si="24"/>
        <v>2.3460000000000002E-2</v>
      </c>
      <c r="Q60" s="122">
        <f t="shared" si="24"/>
        <v>2.3460000000000002E-2</v>
      </c>
      <c r="R60" s="122">
        <f t="shared" si="24"/>
        <v>2.3460000000000002E-2</v>
      </c>
      <c r="S60" s="122">
        <f t="shared" si="24"/>
        <v>2.3460000000000002E-2</v>
      </c>
      <c r="T60" s="122">
        <f t="shared" si="24"/>
        <v>2.3460000000000002E-2</v>
      </c>
      <c r="U60" s="122">
        <f t="shared" si="24"/>
        <v>2.3460000000000002E-2</v>
      </c>
      <c r="V60" s="122">
        <f t="shared" si="24"/>
        <v>2.3460000000000002E-2</v>
      </c>
      <c r="W60" s="122">
        <f t="shared" si="24"/>
        <v>2.3460000000000002E-2</v>
      </c>
      <c r="X60" s="122">
        <f t="shared" si="24"/>
        <v>2.3460000000000002E-2</v>
      </c>
    </row>
    <row r="61" spans="1:24" ht="15" customHeight="1" x14ac:dyDescent="0.2">
      <c r="A61" s="76">
        <v>35</v>
      </c>
      <c r="C61" s="101" t="s">
        <v>79</v>
      </c>
      <c r="D61" s="99"/>
      <c r="E61" s="62">
        <v>200</v>
      </c>
      <c r="F61" s="123">
        <f t="shared" ref="F61:X61" si="25">E61</f>
        <v>200</v>
      </c>
      <c r="G61" s="123">
        <f t="shared" si="25"/>
        <v>200</v>
      </c>
      <c r="H61" s="123">
        <f t="shared" si="25"/>
        <v>200</v>
      </c>
      <c r="I61" s="123">
        <f t="shared" si="25"/>
        <v>200</v>
      </c>
      <c r="J61" s="123">
        <f t="shared" si="25"/>
        <v>200</v>
      </c>
      <c r="K61" s="123">
        <f t="shared" si="25"/>
        <v>200</v>
      </c>
      <c r="L61" s="123">
        <f t="shared" si="25"/>
        <v>200</v>
      </c>
      <c r="M61" s="123">
        <f t="shared" si="25"/>
        <v>200</v>
      </c>
      <c r="N61" s="123">
        <f t="shared" si="25"/>
        <v>200</v>
      </c>
      <c r="O61" s="123">
        <f t="shared" si="25"/>
        <v>200</v>
      </c>
      <c r="P61" s="123">
        <f t="shared" si="25"/>
        <v>200</v>
      </c>
      <c r="Q61" s="123">
        <f t="shared" si="25"/>
        <v>200</v>
      </c>
      <c r="R61" s="123">
        <f t="shared" si="25"/>
        <v>200</v>
      </c>
      <c r="S61" s="123">
        <f t="shared" si="25"/>
        <v>200</v>
      </c>
      <c r="T61" s="123">
        <f t="shared" si="25"/>
        <v>200</v>
      </c>
      <c r="U61" s="123">
        <f t="shared" si="25"/>
        <v>200</v>
      </c>
      <c r="V61" s="123">
        <f t="shared" si="25"/>
        <v>200</v>
      </c>
      <c r="W61" s="123">
        <f t="shared" si="25"/>
        <v>200</v>
      </c>
      <c r="X61" s="123">
        <f t="shared" si="25"/>
        <v>200</v>
      </c>
    </row>
    <row r="62" spans="1:24" ht="15" customHeight="1" x14ac:dyDescent="0.2">
      <c r="A62" s="76">
        <v>36</v>
      </c>
      <c r="C62" s="101" t="s">
        <v>31</v>
      </c>
      <c r="D62" s="99"/>
      <c r="E62" s="59">
        <f t="shared" ref="E62:X62" si="26">E59*E58</f>
        <v>5640000</v>
      </c>
      <c r="F62" s="59">
        <f t="shared" si="26"/>
        <v>5640000</v>
      </c>
      <c r="G62" s="59">
        <f t="shared" si="26"/>
        <v>7840000</v>
      </c>
      <c r="H62" s="59">
        <f t="shared" si="26"/>
        <v>7840000</v>
      </c>
      <c r="I62" s="59">
        <f t="shared" si="26"/>
        <v>7840000</v>
      </c>
      <c r="J62" s="59">
        <f t="shared" si="26"/>
        <v>7840000</v>
      </c>
      <c r="K62" s="59">
        <f t="shared" si="26"/>
        <v>7840000</v>
      </c>
      <c r="L62" s="59">
        <f t="shared" si="26"/>
        <v>7840000</v>
      </c>
      <c r="M62" s="59">
        <f t="shared" si="26"/>
        <v>7840000</v>
      </c>
      <c r="N62" s="59">
        <f t="shared" si="26"/>
        <v>7840000</v>
      </c>
      <c r="O62" s="59">
        <f t="shared" si="26"/>
        <v>7840000</v>
      </c>
      <c r="P62" s="59">
        <f t="shared" si="26"/>
        <v>7840000</v>
      </c>
      <c r="Q62" s="59">
        <f t="shared" si="26"/>
        <v>7840000</v>
      </c>
      <c r="R62" s="59">
        <f t="shared" si="26"/>
        <v>7840000</v>
      </c>
      <c r="S62" s="59">
        <f t="shared" si="26"/>
        <v>7840000</v>
      </c>
      <c r="T62" s="59">
        <f t="shared" si="26"/>
        <v>7840000</v>
      </c>
      <c r="U62" s="59">
        <f t="shared" si="26"/>
        <v>7840000</v>
      </c>
      <c r="V62" s="59">
        <f t="shared" si="26"/>
        <v>7840000</v>
      </c>
      <c r="W62" s="59">
        <f t="shared" si="26"/>
        <v>7840000</v>
      </c>
      <c r="X62" s="59">
        <f t="shared" si="26"/>
        <v>7840000</v>
      </c>
    </row>
    <row r="63" spans="1:24" ht="15" customHeight="1" x14ac:dyDescent="0.2">
      <c r="A63" s="76">
        <v>37</v>
      </c>
      <c r="C63" s="102" t="s">
        <v>100</v>
      </c>
      <c r="D63" s="103"/>
      <c r="E63" s="60">
        <f t="shared" ref="E63:X63" si="27">(E60*E62)+(E61*E58*12)</f>
        <v>134714.40000000002</v>
      </c>
      <c r="F63" s="60">
        <f t="shared" si="27"/>
        <v>134714.40000000002</v>
      </c>
      <c r="G63" s="60">
        <f t="shared" si="27"/>
        <v>186326.40000000002</v>
      </c>
      <c r="H63" s="60">
        <f t="shared" si="27"/>
        <v>186326.40000000002</v>
      </c>
      <c r="I63" s="60">
        <f t="shared" si="27"/>
        <v>186326.40000000002</v>
      </c>
      <c r="J63" s="60">
        <f t="shared" si="27"/>
        <v>186326.40000000002</v>
      </c>
      <c r="K63" s="60">
        <f t="shared" si="27"/>
        <v>186326.40000000002</v>
      </c>
      <c r="L63" s="60">
        <f t="shared" si="27"/>
        <v>186326.40000000002</v>
      </c>
      <c r="M63" s="60">
        <f t="shared" si="27"/>
        <v>186326.40000000002</v>
      </c>
      <c r="N63" s="60">
        <f t="shared" si="27"/>
        <v>186326.40000000002</v>
      </c>
      <c r="O63" s="60">
        <f t="shared" si="27"/>
        <v>186326.40000000002</v>
      </c>
      <c r="P63" s="60">
        <f t="shared" si="27"/>
        <v>186326.40000000002</v>
      </c>
      <c r="Q63" s="60">
        <f t="shared" si="27"/>
        <v>186326.40000000002</v>
      </c>
      <c r="R63" s="60">
        <f t="shared" si="27"/>
        <v>186326.40000000002</v>
      </c>
      <c r="S63" s="60">
        <f t="shared" si="27"/>
        <v>186326.40000000002</v>
      </c>
      <c r="T63" s="60">
        <f t="shared" si="27"/>
        <v>186326.40000000002</v>
      </c>
      <c r="U63" s="60">
        <f t="shared" si="27"/>
        <v>186326.40000000002</v>
      </c>
      <c r="V63" s="60">
        <f t="shared" si="27"/>
        <v>186326.40000000002</v>
      </c>
      <c r="W63" s="60">
        <f t="shared" si="27"/>
        <v>186326.40000000002</v>
      </c>
      <c r="X63" s="60">
        <f t="shared" si="27"/>
        <v>186326.40000000002</v>
      </c>
    </row>
    <row r="64" spans="1:24" ht="15" customHeight="1" x14ac:dyDescent="0.2">
      <c r="C64" s="125" t="s">
        <v>147</v>
      </c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ht="15" customHeight="1" x14ac:dyDescent="0.2">
      <c r="A65" s="76">
        <v>38</v>
      </c>
      <c r="C65" s="101" t="s">
        <v>78</v>
      </c>
      <c r="D65" s="99"/>
      <c r="E65" s="126">
        <v>6</v>
      </c>
      <c r="F65" s="126">
        <v>6</v>
      </c>
      <c r="G65" s="126">
        <v>6</v>
      </c>
      <c r="H65" s="126">
        <v>6</v>
      </c>
      <c r="I65" s="126">
        <v>6</v>
      </c>
      <c r="J65" s="126">
        <v>6</v>
      </c>
      <c r="K65" s="126">
        <v>6</v>
      </c>
      <c r="L65" s="126">
        <v>6</v>
      </c>
      <c r="M65" s="126">
        <v>6</v>
      </c>
      <c r="N65" s="126">
        <v>6</v>
      </c>
      <c r="O65" s="126">
        <v>6</v>
      </c>
      <c r="P65" s="126">
        <v>6</v>
      </c>
      <c r="Q65" s="126">
        <v>6</v>
      </c>
      <c r="R65" s="126">
        <v>6</v>
      </c>
      <c r="S65" s="126">
        <v>6</v>
      </c>
      <c r="T65" s="126">
        <v>6</v>
      </c>
      <c r="U65" s="126">
        <v>6</v>
      </c>
      <c r="V65" s="126">
        <v>6</v>
      </c>
      <c r="W65" s="126">
        <v>6</v>
      </c>
      <c r="X65" s="126">
        <v>6</v>
      </c>
    </row>
    <row r="66" spans="1:24" ht="15" customHeight="1" x14ac:dyDescent="0.2">
      <c r="A66" s="76">
        <v>39</v>
      </c>
      <c r="C66" s="101" t="s">
        <v>99</v>
      </c>
      <c r="D66" s="99"/>
      <c r="E66" s="126">
        <v>86090</v>
      </c>
      <c r="F66" s="126">
        <f t="shared" ref="F66" si="28">E66</f>
        <v>86090</v>
      </c>
      <c r="G66" s="126">
        <f t="shared" ref="G66" si="29">F66</f>
        <v>86090</v>
      </c>
      <c r="H66" s="126">
        <f t="shared" ref="H66" si="30">G66</f>
        <v>86090</v>
      </c>
      <c r="I66" s="126">
        <f t="shared" ref="I66" si="31">H66</f>
        <v>86090</v>
      </c>
      <c r="J66" s="126">
        <f t="shared" ref="J66" si="32">I66</f>
        <v>86090</v>
      </c>
      <c r="K66" s="126">
        <f t="shared" ref="K66" si="33">J66</f>
        <v>86090</v>
      </c>
      <c r="L66" s="126">
        <f t="shared" ref="L66" si="34">K66</f>
        <v>86090</v>
      </c>
      <c r="M66" s="126">
        <f t="shared" ref="M66" si="35">L66</f>
        <v>86090</v>
      </c>
      <c r="N66" s="126">
        <f t="shared" ref="N66" si="36">M66</f>
        <v>86090</v>
      </c>
      <c r="O66" s="126">
        <f t="shared" ref="O66" si="37">N66</f>
        <v>86090</v>
      </c>
      <c r="P66" s="126">
        <f t="shared" ref="P66" si="38">O66</f>
        <v>86090</v>
      </c>
      <c r="Q66" s="126">
        <f t="shared" ref="Q66" si="39">P66</f>
        <v>86090</v>
      </c>
      <c r="R66" s="126">
        <f t="shared" ref="R66" si="40">Q66</f>
        <v>86090</v>
      </c>
      <c r="S66" s="126">
        <f t="shared" ref="S66" si="41">R66</f>
        <v>86090</v>
      </c>
      <c r="T66" s="126">
        <f t="shared" ref="T66" si="42">S66</f>
        <v>86090</v>
      </c>
      <c r="U66" s="126">
        <f t="shared" ref="U66" si="43">T66</f>
        <v>86090</v>
      </c>
      <c r="V66" s="126">
        <f t="shared" ref="V66" si="44">U66</f>
        <v>86090</v>
      </c>
      <c r="W66" s="126">
        <f t="shared" ref="W66" si="45">V66</f>
        <v>86090</v>
      </c>
      <c r="X66" s="126">
        <f t="shared" ref="X66" si="46">W66</f>
        <v>86090</v>
      </c>
    </row>
    <row r="67" spans="1:24" ht="15" customHeight="1" x14ac:dyDescent="0.2">
      <c r="A67" s="76">
        <v>40</v>
      </c>
      <c r="C67" s="101" t="s">
        <v>65</v>
      </c>
      <c r="D67" s="99"/>
      <c r="E67" s="61">
        <v>0.11632000000000001</v>
      </c>
      <c r="F67" s="122">
        <f t="shared" ref="F67:F68" si="47">E67</f>
        <v>0.11632000000000001</v>
      </c>
      <c r="G67" s="122">
        <f t="shared" ref="G67:G68" si="48">F67</f>
        <v>0.11632000000000001</v>
      </c>
      <c r="H67" s="122">
        <f t="shared" ref="H67:H68" si="49">G67</f>
        <v>0.11632000000000001</v>
      </c>
      <c r="I67" s="122">
        <f t="shared" ref="I67:I68" si="50">H67</f>
        <v>0.11632000000000001</v>
      </c>
      <c r="J67" s="122">
        <f t="shared" ref="J67:J68" si="51">I67</f>
        <v>0.11632000000000001</v>
      </c>
      <c r="K67" s="122">
        <f t="shared" ref="K67:K68" si="52">J67</f>
        <v>0.11632000000000001</v>
      </c>
      <c r="L67" s="122">
        <f t="shared" ref="L67:L68" si="53">K67</f>
        <v>0.11632000000000001</v>
      </c>
      <c r="M67" s="122">
        <f t="shared" ref="M67:M68" si="54">L67</f>
        <v>0.11632000000000001</v>
      </c>
      <c r="N67" s="122">
        <f t="shared" ref="N67:N68" si="55">M67</f>
        <v>0.11632000000000001</v>
      </c>
      <c r="O67" s="122">
        <f t="shared" ref="O67:O68" si="56">N67</f>
        <v>0.11632000000000001</v>
      </c>
      <c r="P67" s="122">
        <f t="shared" ref="P67:P68" si="57">O67</f>
        <v>0.11632000000000001</v>
      </c>
      <c r="Q67" s="122">
        <f t="shared" ref="Q67:Q68" si="58">P67</f>
        <v>0.11632000000000001</v>
      </c>
      <c r="R67" s="122">
        <f t="shared" ref="R67:R68" si="59">Q67</f>
        <v>0.11632000000000001</v>
      </c>
      <c r="S67" s="122">
        <f t="shared" ref="S67:S68" si="60">R67</f>
        <v>0.11632000000000001</v>
      </c>
      <c r="T67" s="122">
        <f t="shared" ref="T67:T68" si="61">S67</f>
        <v>0.11632000000000001</v>
      </c>
      <c r="U67" s="122">
        <f t="shared" ref="U67:U68" si="62">T67</f>
        <v>0.11632000000000001</v>
      </c>
      <c r="V67" s="122">
        <f t="shared" ref="V67:V68" si="63">U67</f>
        <v>0.11632000000000001</v>
      </c>
      <c r="W67" s="122">
        <f t="shared" ref="W67:W68" si="64">V67</f>
        <v>0.11632000000000001</v>
      </c>
      <c r="X67" s="122">
        <f t="shared" ref="X67:X68" si="65">W67</f>
        <v>0.11632000000000001</v>
      </c>
    </row>
    <row r="68" spans="1:24" ht="15" customHeight="1" x14ac:dyDescent="0.2">
      <c r="A68" s="76">
        <v>41</v>
      </c>
      <c r="C68" s="101" t="s">
        <v>79</v>
      </c>
      <c r="D68" s="99"/>
      <c r="E68" s="62">
        <v>29</v>
      </c>
      <c r="F68" s="123">
        <f t="shared" si="47"/>
        <v>29</v>
      </c>
      <c r="G68" s="123">
        <f t="shared" si="48"/>
        <v>29</v>
      </c>
      <c r="H68" s="123">
        <f t="shared" si="49"/>
        <v>29</v>
      </c>
      <c r="I68" s="123">
        <f t="shared" si="50"/>
        <v>29</v>
      </c>
      <c r="J68" s="123">
        <f t="shared" si="51"/>
        <v>29</v>
      </c>
      <c r="K68" s="123">
        <f t="shared" si="52"/>
        <v>29</v>
      </c>
      <c r="L68" s="123">
        <f t="shared" si="53"/>
        <v>29</v>
      </c>
      <c r="M68" s="123">
        <f t="shared" si="54"/>
        <v>29</v>
      </c>
      <c r="N68" s="123">
        <f t="shared" si="55"/>
        <v>29</v>
      </c>
      <c r="O68" s="123">
        <f t="shared" si="56"/>
        <v>29</v>
      </c>
      <c r="P68" s="123">
        <f t="shared" si="57"/>
        <v>29</v>
      </c>
      <c r="Q68" s="123">
        <f t="shared" si="58"/>
        <v>29</v>
      </c>
      <c r="R68" s="123">
        <f t="shared" si="59"/>
        <v>29</v>
      </c>
      <c r="S68" s="123">
        <f t="shared" si="60"/>
        <v>29</v>
      </c>
      <c r="T68" s="123">
        <f t="shared" si="61"/>
        <v>29</v>
      </c>
      <c r="U68" s="123">
        <f t="shared" si="62"/>
        <v>29</v>
      </c>
      <c r="V68" s="123">
        <f t="shared" si="63"/>
        <v>29</v>
      </c>
      <c r="W68" s="123">
        <f t="shared" si="64"/>
        <v>29</v>
      </c>
      <c r="X68" s="123">
        <f t="shared" si="65"/>
        <v>29</v>
      </c>
    </row>
    <row r="69" spans="1:24" ht="15" customHeight="1" x14ac:dyDescent="0.2">
      <c r="A69" s="76">
        <v>42</v>
      </c>
      <c r="C69" s="101" t="s">
        <v>31</v>
      </c>
      <c r="D69" s="99"/>
      <c r="E69" s="59">
        <f t="shared" ref="E69:X69" si="66">E66*E65</f>
        <v>516540</v>
      </c>
      <c r="F69" s="59">
        <f t="shared" si="66"/>
        <v>516540</v>
      </c>
      <c r="G69" s="59">
        <f t="shared" si="66"/>
        <v>516540</v>
      </c>
      <c r="H69" s="59">
        <f t="shared" si="66"/>
        <v>516540</v>
      </c>
      <c r="I69" s="59">
        <f t="shared" si="66"/>
        <v>516540</v>
      </c>
      <c r="J69" s="59">
        <f t="shared" si="66"/>
        <v>516540</v>
      </c>
      <c r="K69" s="59">
        <f t="shared" si="66"/>
        <v>516540</v>
      </c>
      <c r="L69" s="59">
        <f t="shared" si="66"/>
        <v>516540</v>
      </c>
      <c r="M69" s="59">
        <f t="shared" si="66"/>
        <v>516540</v>
      </c>
      <c r="N69" s="59">
        <f t="shared" si="66"/>
        <v>516540</v>
      </c>
      <c r="O69" s="59">
        <f t="shared" si="66"/>
        <v>516540</v>
      </c>
      <c r="P69" s="59">
        <f t="shared" si="66"/>
        <v>516540</v>
      </c>
      <c r="Q69" s="59">
        <f t="shared" si="66"/>
        <v>516540</v>
      </c>
      <c r="R69" s="59">
        <f t="shared" si="66"/>
        <v>516540</v>
      </c>
      <c r="S69" s="59">
        <f t="shared" si="66"/>
        <v>516540</v>
      </c>
      <c r="T69" s="59">
        <f t="shared" si="66"/>
        <v>516540</v>
      </c>
      <c r="U69" s="59">
        <f t="shared" si="66"/>
        <v>516540</v>
      </c>
      <c r="V69" s="59">
        <f t="shared" si="66"/>
        <v>516540</v>
      </c>
      <c r="W69" s="59">
        <f t="shared" si="66"/>
        <v>516540</v>
      </c>
      <c r="X69" s="59">
        <f t="shared" si="66"/>
        <v>516540</v>
      </c>
    </row>
    <row r="70" spans="1:24" ht="15" customHeight="1" x14ac:dyDescent="0.2">
      <c r="A70" s="76">
        <v>43</v>
      </c>
      <c r="C70" s="102" t="s">
        <v>100</v>
      </c>
      <c r="D70" s="103"/>
      <c r="E70" s="60">
        <f t="shared" ref="E70:X70" si="67">(E67*E69)+(E68*E65*12)</f>
        <v>62171.932800000002</v>
      </c>
      <c r="F70" s="60">
        <f t="shared" si="67"/>
        <v>62171.932800000002</v>
      </c>
      <c r="G70" s="60">
        <f t="shared" si="67"/>
        <v>62171.932800000002</v>
      </c>
      <c r="H70" s="60">
        <f t="shared" si="67"/>
        <v>62171.932800000002</v>
      </c>
      <c r="I70" s="60">
        <f t="shared" si="67"/>
        <v>62171.932800000002</v>
      </c>
      <c r="J70" s="60">
        <f t="shared" si="67"/>
        <v>62171.932800000002</v>
      </c>
      <c r="K70" s="60">
        <f t="shared" si="67"/>
        <v>62171.932800000002</v>
      </c>
      <c r="L70" s="60">
        <f t="shared" si="67"/>
        <v>62171.932800000002</v>
      </c>
      <c r="M70" s="60">
        <f t="shared" si="67"/>
        <v>62171.932800000002</v>
      </c>
      <c r="N70" s="60">
        <f t="shared" si="67"/>
        <v>62171.932800000002</v>
      </c>
      <c r="O70" s="60">
        <f t="shared" si="67"/>
        <v>62171.932800000002</v>
      </c>
      <c r="P70" s="60">
        <f t="shared" si="67"/>
        <v>62171.932800000002</v>
      </c>
      <c r="Q70" s="60">
        <f t="shared" si="67"/>
        <v>62171.932800000002</v>
      </c>
      <c r="R70" s="60">
        <f t="shared" si="67"/>
        <v>62171.932800000002</v>
      </c>
      <c r="S70" s="60">
        <f t="shared" si="67"/>
        <v>62171.932800000002</v>
      </c>
      <c r="T70" s="60">
        <f t="shared" si="67"/>
        <v>62171.932800000002</v>
      </c>
      <c r="U70" s="60">
        <f t="shared" si="67"/>
        <v>62171.932800000002</v>
      </c>
      <c r="V70" s="60">
        <f t="shared" si="67"/>
        <v>62171.932800000002</v>
      </c>
      <c r="W70" s="60">
        <f t="shared" si="67"/>
        <v>62171.932800000002</v>
      </c>
      <c r="X70" s="60">
        <f t="shared" si="67"/>
        <v>62171.932800000002</v>
      </c>
    </row>
    <row r="71" spans="1:24" ht="15" customHeight="1" x14ac:dyDescent="0.2">
      <c r="C71" s="125" t="s">
        <v>150</v>
      </c>
      <c r="D71" s="99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 ht="15" customHeight="1" x14ac:dyDescent="0.2">
      <c r="A72" s="76">
        <v>44</v>
      </c>
      <c r="C72" s="101" t="s">
        <v>78</v>
      </c>
      <c r="D72" s="99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1:24" ht="15" customHeight="1" x14ac:dyDescent="0.2">
      <c r="A73" s="76">
        <v>45</v>
      </c>
      <c r="C73" s="101" t="s">
        <v>99</v>
      </c>
      <c r="D73" s="99"/>
      <c r="E73" s="126"/>
      <c r="F73" s="126">
        <f t="shared" ref="F73" si="68">E73</f>
        <v>0</v>
      </c>
      <c r="G73" s="126">
        <f t="shared" ref="G73" si="69">F73</f>
        <v>0</v>
      </c>
      <c r="H73" s="126">
        <f t="shared" ref="H73" si="70">G73</f>
        <v>0</v>
      </c>
      <c r="I73" s="126">
        <f t="shared" ref="I73" si="71">H73</f>
        <v>0</v>
      </c>
      <c r="J73" s="126">
        <f t="shared" ref="J73" si="72">I73</f>
        <v>0</v>
      </c>
      <c r="K73" s="126">
        <f t="shared" ref="K73" si="73">J73</f>
        <v>0</v>
      </c>
      <c r="L73" s="126">
        <f t="shared" ref="L73" si="74">K73</f>
        <v>0</v>
      </c>
      <c r="M73" s="126">
        <f t="shared" ref="M73" si="75">L73</f>
        <v>0</v>
      </c>
      <c r="N73" s="126">
        <f t="shared" ref="N73" si="76">M73</f>
        <v>0</v>
      </c>
      <c r="O73" s="126">
        <f t="shared" ref="O73" si="77">N73</f>
        <v>0</v>
      </c>
      <c r="P73" s="126">
        <f t="shared" ref="P73" si="78">O73</f>
        <v>0</v>
      </c>
      <c r="Q73" s="126">
        <f t="shared" ref="Q73" si="79">P73</f>
        <v>0</v>
      </c>
      <c r="R73" s="126">
        <f t="shared" ref="R73" si="80">Q73</f>
        <v>0</v>
      </c>
      <c r="S73" s="126">
        <f t="shared" ref="S73" si="81">R73</f>
        <v>0</v>
      </c>
      <c r="T73" s="126">
        <f t="shared" ref="T73" si="82">S73</f>
        <v>0</v>
      </c>
      <c r="U73" s="126">
        <f t="shared" ref="U73" si="83">T73</f>
        <v>0</v>
      </c>
      <c r="V73" s="126">
        <f t="shared" ref="V73" si="84">U73</f>
        <v>0</v>
      </c>
      <c r="W73" s="126">
        <f t="shared" ref="W73" si="85">V73</f>
        <v>0</v>
      </c>
      <c r="X73" s="126">
        <f t="shared" ref="X73" si="86">W73</f>
        <v>0</v>
      </c>
    </row>
    <row r="74" spans="1:24" ht="15" customHeight="1" x14ac:dyDescent="0.2">
      <c r="A74" s="76">
        <v>46</v>
      </c>
      <c r="C74" s="101" t="s">
        <v>65</v>
      </c>
      <c r="D74" s="99"/>
      <c r="E74" s="61"/>
      <c r="F74" s="122">
        <f t="shared" ref="F74:F75" si="87">E74</f>
        <v>0</v>
      </c>
      <c r="G74" s="122">
        <f t="shared" ref="G74:G75" si="88">F74</f>
        <v>0</v>
      </c>
      <c r="H74" s="122">
        <f t="shared" ref="H74:H75" si="89">G74</f>
        <v>0</v>
      </c>
      <c r="I74" s="122">
        <f t="shared" ref="I74:I75" si="90">H74</f>
        <v>0</v>
      </c>
      <c r="J74" s="122">
        <f t="shared" ref="J74:J75" si="91">I74</f>
        <v>0</v>
      </c>
      <c r="K74" s="122">
        <f t="shared" ref="K74:K75" si="92">J74</f>
        <v>0</v>
      </c>
      <c r="L74" s="122">
        <f t="shared" ref="L74:L75" si="93">K74</f>
        <v>0</v>
      </c>
      <c r="M74" s="122">
        <f t="shared" ref="M74:M75" si="94">L74</f>
        <v>0</v>
      </c>
      <c r="N74" s="122">
        <f t="shared" ref="N74:N75" si="95">M74</f>
        <v>0</v>
      </c>
      <c r="O74" s="122">
        <f t="shared" ref="O74:O75" si="96">N74</f>
        <v>0</v>
      </c>
      <c r="P74" s="122">
        <f t="shared" ref="P74:P75" si="97">O74</f>
        <v>0</v>
      </c>
      <c r="Q74" s="122">
        <f t="shared" ref="Q74:Q75" si="98">P74</f>
        <v>0</v>
      </c>
      <c r="R74" s="122">
        <f t="shared" ref="R74:R75" si="99">Q74</f>
        <v>0</v>
      </c>
      <c r="S74" s="122">
        <f t="shared" ref="S74:S75" si="100">R74</f>
        <v>0</v>
      </c>
      <c r="T74" s="122">
        <f t="shared" ref="T74:T75" si="101">S74</f>
        <v>0</v>
      </c>
      <c r="U74" s="122">
        <f t="shared" ref="U74:U75" si="102">T74</f>
        <v>0</v>
      </c>
      <c r="V74" s="122">
        <f t="shared" ref="V74:V75" si="103">U74</f>
        <v>0</v>
      </c>
      <c r="W74" s="122">
        <f t="shared" ref="W74:W75" si="104">V74</f>
        <v>0</v>
      </c>
      <c r="X74" s="122">
        <f t="shared" ref="X74:X75" si="105">W74</f>
        <v>0</v>
      </c>
    </row>
    <row r="75" spans="1:24" ht="15" customHeight="1" x14ac:dyDescent="0.2">
      <c r="A75" s="76">
        <v>47</v>
      </c>
      <c r="C75" s="101" t="s">
        <v>79</v>
      </c>
      <c r="D75" s="99"/>
      <c r="E75" s="62"/>
      <c r="F75" s="123">
        <f t="shared" si="87"/>
        <v>0</v>
      </c>
      <c r="G75" s="123">
        <f t="shared" si="88"/>
        <v>0</v>
      </c>
      <c r="H75" s="123">
        <f t="shared" si="89"/>
        <v>0</v>
      </c>
      <c r="I75" s="123">
        <f t="shared" si="90"/>
        <v>0</v>
      </c>
      <c r="J75" s="123">
        <f t="shared" si="91"/>
        <v>0</v>
      </c>
      <c r="K75" s="123">
        <f t="shared" si="92"/>
        <v>0</v>
      </c>
      <c r="L75" s="123">
        <f t="shared" si="93"/>
        <v>0</v>
      </c>
      <c r="M75" s="123">
        <f t="shared" si="94"/>
        <v>0</v>
      </c>
      <c r="N75" s="123">
        <f t="shared" si="95"/>
        <v>0</v>
      </c>
      <c r="O75" s="123">
        <f t="shared" si="96"/>
        <v>0</v>
      </c>
      <c r="P75" s="123">
        <f t="shared" si="97"/>
        <v>0</v>
      </c>
      <c r="Q75" s="123">
        <f t="shared" si="98"/>
        <v>0</v>
      </c>
      <c r="R75" s="123">
        <f t="shared" si="99"/>
        <v>0</v>
      </c>
      <c r="S75" s="123">
        <f t="shared" si="100"/>
        <v>0</v>
      </c>
      <c r="T75" s="123">
        <f t="shared" si="101"/>
        <v>0</v>
      </c>
      <c r="U75" s="123">
        <f t="shared" si="102"/>
        <v>0</v>
      </c>
      <c r="V75" s="123">
        <f t="shared" si="103"/>
        <v>0</v>
      </c>
      <c r="W75" s="123">
        <f t="shared" si="104"/>
        <v>0</v>
      </c>
      <c r="X75" s="123">
        <f t="shared" si="105"/>
        <v>0</v>
      </c>
    </row>
    <row r="76" spans="1:24" ht="15" customHeight="1" x14ac:dyDescent="0.2">
      <c r="A76" s="76">
        <v>48</v>
      </c>
      <c r="C76" s="101" t="s">
        <v>31</v>
      </c>
      <c r="D76" s="99"/>
      <c r="E76" s="59">
        <f t="shared" ref="E76:X76" si="106">E73*E72</f>
        <v>0</v>
      </c>
      <c r="F76" s="59">
        <f t="shared" si="106"/>
        <v>0</v>
      </c>
      <c r="G76" s="59">
        <f t="shared" si="106"/>
        <v>0</v>
      </c>
      <c r="H76" s="59">
        <f t="shared" si="106"/>
        <v>0</v>
      </c>
      <c r="I76" s="59">
        <f t="shared" si="106"/>
        <v>0</v>
      </c>
      <c r="J76" s="59">
        <f t="shared" si="106"/>
        <v>0</v>
      </c>
      <c r="K76" s="59">
        <f t="shared" si="106"/>
        <v>0</v>
      </c>
      <c r="L76" s="59">
        <f t="shared" si="106"/>
        <v>0</v>
      </c>
      <c r="M76" s="59">
        <f t="shared" si="106"/>
        <v>0</v>
      </c>
      <c r="N76" s="59">
        <f t="shared" si="106"/>
        <v>0</v>
      </c>
      <c r="O76" s="59">
        <f t="shared" si="106"/>
        <v>0</v>
      </c>
      <c r="P76" s="59">
        <f t="shared" si="106"/>
        <v>0</v>
      </c>
      <c r="Q76" s="59">
        <f t="shared" si="106"/>
        <v>0</v>
      </c>
      <c r="R76" s="59">
        <f t="shared" si="106"/>
        <v>0</v>
      </c>
      <c r="S76" s="59">
        <f t="shared" si="106"/>
        <v>0</v>
      </c>
      <c r="T76" s="59">
        <f t="shared" si="106"/>
        <v>0</v>
      </c>
      <c r="U76" s="59">
        <f t="shared" si="106"/>
        <v>0</v>
      </c>
      <c r="V76" s="59">
        <f t="shared" si="106"/>
        <v>0</v>
      </c>
      <c r="W76" s="59">
        <f t="shared" si="106"/>
        <v>0</v>
      </c>
      <c r="X76" s="59">
        <f t="shared" si="106"/>
        <v>0</v>
      </c>
    </row>
    <row r="77" spans="1:24" ht="15" customHeight="1" x14ac:dyDescent="0.2">
      <c r="A77" s="76">
        <v>49</v>
      </c>
      <c r="C77" s="102" t="s">
        <v>100</v>
      </c>
      <c r="D77" s="103"/>
      <c r="E77" s="60">
        <f t="shared" ref="E77:X77" si="107">(E74*E76)+(E75*E72*12)</f>
        <v>0</v>
      </c>
      <c r="F77" s="60">
        <f t="shared" si="107"/>
        <v>0</v>
      </c>
      <c r="G77" s="60">
        <f t="shared" si="107"/>
        <v>0</v>
      </c>
      <c r="H77" s="60">
        <f t="shared" si="107"/>
        <v>0</v>
      </c>
      <c r="I77" s="60">
        <f t="shared" si="107"/>
        <v>0</v>
      </c>
      <c r="J77" s="60">
        <f t="shared" si="107"/>
        <v>0</v>
      </c>
      <c r="K77" s="60">
        <f t="shared" si="107"/>
        <v>0</v>
      </c>
      <c r="L77" s="60">
        <f t="shared" si="107"/>
        <v>0</v>
      </c>
      <c r="M77" s="60">
        <f t="shared" si="107"/>
        <v>0</v>
      </c>
      <c r="N77" s="60">
        <f t="shared" si="107"/>
        <v>0</v>
      </c>
      <c r="O77" s="60">
        <f t="shared" si="107"/>
        <v>0</v>
      </c>
      <c r="P77" s="60">
        <f t="shared" si="107"/>
        <v>0</v>
      </c>
      <c r="Q77" s="60">
        <f t="shared" si="107"/>
        <v>0</v>
      </c>
      <c r="R77" s="60">
        <f t="shared" si="107"/>
        <v>0</v>
      </c>
      <c r="S77" s="60">
        <f t="shared" si="107"/>
        <v>0</v>
      </c>
      <c r="T77" s="60">
        <f t="shared" si="107"/>
        <v>0</v>
      </c>
      <c r="U77" s="60">
        <f t="shared" si="107"/>
        <v>0</v>
      </c>
      <c r="V77" s="60">
        <f t="shared" si="107"/>
        <v>0</v>
      </c>
      <c r="W77" s="60">
        <f t="shared" si="107"/>
        <v>0</v>
      </c>
      <c r="X77" s="60">
        <f t="shared" si="107"/>
        <v>0</v>
      </c>
    </row>
    <row r="78" spans="1:24" ht="15" customHeight="1" x14ac:dyDescent="0.2">
      <c r="C78" s="125" t="s">
        <v>115</v>
      </c>
      <c r="D78" s="99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</row>
    <row r="79" spans="1:24" ht="15" customHeight="1" x14ac:dyDescent="0.2">
      <c r="A79" s="76">
        <v>50</v>
      </c>
      <c r="C79" s="101" t="s">
        <v>78</v>
      </c>
      <c r="D79" s="99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</row>
    <row r="80" spans="1:24" ht="15" customHeight="1" x14ac:dyDescent="0.2">
      <c r="A80" s="76">
        <v>51</v>
      </c>
      <c r="C80" s="101" t="s">
        <v>99</v>
      </c>
      <c r="D80" s="99"/>
      <c r="E80" s="126"/>
      <c r="F80" s="126">
        <f t="shared" ref="F80" si="108">E80</f>
        <v>0</v>
      </c>
      <c r="G80" s="126">
        <f t="shared" ref="G80" si="109">F80</f>
        <v>0</v>
      </c>
      <c r="H80" s="126">
        <f t="shared" ref="H80" si="110">G80</f>
        <v>0</v>
      </c>
      <c r="I80" s="126">
        <f t="shared" ref="I80" si="111">H80</f>
        <v>0</v>
      </c>
      <c r="J80" s="126">
        <f t="shared" ref="J80" si="112">I80</f>
        <v>0</v>
      </c>
      <c r="K80" s="126">
        <f t="shared" ref="K80" si="113">J80</f>
        <v>0</v>
      </c>
      <c r="L80" s="126">
        <f t="shared" ref="L80" si="114">K80</f>
        <v>0</v>
      </c>
      <c r="M80" s="126">
        <f t="shared" ref="M80" si="115">L80</f>
        <v>0</v>
      </c>
      <c r="N80" s="126">
        <f t="shared" ref="N80" si="116">M80</f>
        <v>0</v>
      </c>
      <c r="O80" s="126">
        <f t="shared" ref="O80" si="117">N80</f>
        <v>0</v>
      </c>
      <c r="P80" s="126">
        <f t="shared" ref="P80" si="118">O80</f>
        <v>0</v>
      </c>
      <c r="Q80" s="126">
        <f t="shared" ref="Q80" si="119">P80</f>
        <v>0</v>
      </c>
      <c r="R80" s="126">
        <f t="shared" ref="R80" si="120">Q80</f>
        <v>0</v>
      </c>
      <c r="S80" s="126">
        <f t="shared" ref="S80" si="121">R80</f>
        <v>0</v>
      </c>
      <c r="T80" s="126">
        <f t="shared" ref="T80" si="122">S80</f>
        <v>0</v>
      </c>
      <c r="U80" s="126">
        <f t="shared" ref="U80" si="123">T80</f>
        <v>0</v>
      </c>
      <c r="V80" s="126">
        <f t="shared" ref="V80" si="124">U80</f>
        <v>0</v>
      </c>
      <c r="W80" s="126">
        <f t="shared" ref="W80" si="125">V80</f>
        <v>0</v>
      </c>
      <c r="X80" s="126">
        <f t="shared" ref="X80" si="126">W80</f>
        <v>0</v>
      </c>
    </row>
    <row r="81" spans="1:24" ht="15" customHeight="1" x14ac:dyDescent="0.2">
      <c r="A81" s="76">
        <v>52</v>
      </c>
      <c r="C81" s="101" t="s">
        <v>65</v>
      </c>
      <c r="D81" s="99"/>
      <c r="E81" s="61"/>
      <c r="F81" s="122">
        <f t="shared" ref="F81:F82" si="127">E81</f>
        <v>0</v>
      </c>
      <c r="G81" s="122">
        <f t="shared" ref="G81:G82" si="128">F81</f>
        <v>0</v>
      </c>
      <c r="H81" s="122">
        <f t="shared" ref="H81:H82" si="129">G81</f>
        <v>0</v>
      </c>
      <c r="I81" s="122">
        <f t="shared" ref="I81:I82" si="130">H81</f>
        <v>0</v>
      </c>
      <c r="J81" s="122">
        <f t="shared" ref="J81:J82" si="131">I81</f>
        <v>0</v>
      </c>
      <c r="K81" s="122">
        <f t="shared" ref="K81:K82" si="132">J81</f>
        <v>0</v>
      </c>
      <c r="L81" s="122">
        <f t="shared" ref="L81:L82" si="133">K81</f>
        <v>0</v>
      </c>
      <c r="M81" s="122">
        <f t="shared" ref="M81:M82" si="134">L81</f>
        <v>0</v>
      </c>
      <c r="N81" s="122">
        <f t="shared" ref="N81:N82" si="135">M81</f>
        <v>0</v>
      </c>
      <c r="O81" s="122">
        <f t="shared" ref="O81:O82" si="136">N81</f>
        <v>0</v>
      </c>
      <c r="P81" s="122">
        <f t="shared" ref="P81:P82" si="137">O81</f>
        <v>0</v>
      </c>
      <c r="Q81" s="122">
        <f t="shared" ref="Q81:Q82" si="138">P81</f>
        <v>0</v>
      </c>
      <c r="R81" s="122">
        <f t="shared" ref="R81:R82" si="139">Q81</f>
        <v>0</v>
      </c>
      <c r="S81" s="122">
        <f t="shared" ref="S81:S82" si="140">R81</f>
        <v>0</v>
      </c>
      <c r="T81" s="122">
        <f t="shared" ref="T81:T82" si="141">S81</f>
        <v>0</v>
      </c>
      <c r="U81" s="122">
        <f t="shared" ref="U81:U82" si="142">T81</f>
        <v>0</v>
      </c>
      <c r="V81" s="122">
        <f t="shared" ref="V81:V82" si="143">U81</f>
        <v>0</v>
      </c>
      <c r="W81" s="122">
        <f t="shared" ref="W81:W82" si="144">V81</f>
        <v>0</v>
      </c>
      <c r="X81" s="122">
        <f t="shared" ref="X81:X82" si="145">W81</f>
        <v>0</v>
      </c>
    </row>
    <row r="82" spans="1:24" ht="15" customHeight="1" x14ac:dyDescent="0.2">
      <c r="A82" s="76">
        <v>53</v>
      </c>
      <c r="C82" s="101" t="s">
        <v>79</v>
      </c>
      <c r="D82" s="99"/>
      <c r="E82" s="62"/>
      <c r="F82" s="123">
        <f t="shared" si="127"/>
        <v>0</v>
      </c>
      <c r="G82" s="123">
        <f t="shared" si="128"/>
        <v>0</v>
      </c>
      <c r="H82" s="123">
        <f t="shared" si="129"/>
        <v>0</v>
      </c>
      <c r="I82" s="123">
        <f t="shared" si="130"/>
        <v>0</v>
      </c>
      <c r="J82" s="123">
        <f t="shared" si="131"/>
        <v>0</v>
      </c>
      <c r="K82" s="123">
        <f t="shared" si="132"/>
        <v>0</v>
      </c>
      <c r="L82" s="123">
        <f t="shared" si="133"/>
        <v>0</v>
      </c>
      <c r="M82" s="123">
        <f t="shared" si="134"/>
        <v>0</v>
      </c>
      <c r="N82" s="123">
        <f t="shared" si="135"/>
        <v>0</v>
      </c>
      <c r="O82" s="123">
        <f t="shared" si="136"/>
        <v>0</v>
      </c>
      <c r="P82" s="123">
        <f t="shared" si="137"/>
        <v>0</v>
      </c>
      <c r="Q82" s="123">
        <f t="shared" si="138"/>
        <v>0</v>
      </c>
      <c r="R82" s="123">
        <f t="shared" si="139"/>
        <v>0</v>
      </c>
      <c r="S82" s="123">
        <f t="shared" si="140"/>
        <v>0</v>
      </c>
      <c r="T82" s="123">
        <f t="shared" si="141"/>
        <v>0</v>
      </c>
      <c r="U82" s="123">
        <f t="shared" si="142"/>
        <v>0</v>
      </c>
      <c r="V82" s="123">
        <f t="shared" si="143"/>
        <v>0</v>
      </c>
      <c r="W82" s="123">
        <f t="shared" si="144"/>
        <v>0</v>
      </c>
      <c r="X82" s="123">
        <f t="shared" si="145"/>
        <v>0</v>
      </c>
    </row>
    <row r="83" spans="1:24" ht="15" customHeight="1" x14ac:dyDescent="0.2">
      <c r="A83" s="76">
        <v>54</v>
      </c>
      <c r="C83" s="101" t="s">
        <v>31</v>
      </c>
      <c r="D83" s="99"/>
      <c r="E83" s="59">
        <f t="shared" ref="E83:X83" si="146">E80*E79</f>
        <v>0</v>
      </c>
      <c r="F83" s="59">
        <f t="shared" si="146"/>
        <v>0</v>
      </c>
      <c r="G83" s="59">
        <f t="shared" si="146"/>
        <v>0</v>
      </c>
      <c r="H83" s="59">
        <f t="shared" si="146"/>
        <v>0</v>
      </c>
      <c r="I83" s="59">
        <f t="shared" si="146"/>
        <v>0</v>
      </c>
      <c r="J83" s="59">
        <f t="shared" si="146"/>
        <v>0</v>
      </c>
      <c r="K83" s="59">
        <f t="shared" si="146"/>
        <v>0</v>
      </c>
      <c r="L83" s="59">
        <f t="shared" si="146"/>
        <v>0</v>
      </c>
      <c r="M83" s="59">
        <f t="shared" si="146"/>
        <v>0</v>
      </c>
      <c r="N83" s="59">
        <f t="shared" si="146"/>
        <v>0</v>
      </c>
      <c r="O83" s="59">
        <f t="shared" si="146"/>
        <v>0</v>
      </c>
      <c r="P83" s="59">
        <f t="shared" si="146"/>
        <v>0</v>
      </c>
      <c r="Q83" s="59">
        <f t="shared" si="146"/>
        <v>0</v>
      </c>
      <c r="R83" s="59">
        <f t="shared" si="146"/>
        <v>0</v>
      </c>
      <c r="S83" s="59">
        <f t="shared" si="146"/>
        <v>0</v>
      </c>
      <c r="T83" s="59">
        <f t="shared" si="146"/>
        <v>0</v>
      </c>
      <c r="U83" s="59">
        <f t="shared" si="146"/>
        <v>0</v>
      </c>
      <c r="V83" s="59">
        <f t="shared" si="146"/>
        <v>0</v>
      </c>
      <c r="W83" s="59">
        <f t="shared" si="146"/>
        <v>0</v>
      </c>
      <c r="X83" s="59">
        <f t="shared" si="146"/>
        <v>0</v>
      </c>
    </row>
    <row r="84" spans="1:24" ht="15" customHeight="1" x14ac:dyDescent="0.2">
      <c r="A84" s="76">
        <v>55</v>
      </c>
      <c r="C84" s="102" t="s">
        <v>100</v>
      </c>
      <c r="D84" s="103"/>
      <c r="E84" s="60">
        <f t="shared" ref="E84:X84" si="147">(E81*E83)+(E82*E79*12)</f>
        <v>0</v>
      </c>
      <c r="F84" s="60">
        <f t="shared" si="147"/>
        <v>0</v>
      </c>
      <c r="G84" s="60">
        <f t="shared" si="147"/>
        <v>0</v>
      </c>
      <c r="H84" s="60">
        <f t="shared" si="147"/>
        <v>0</v>
      </c>
      <c r="I84" s="60">
        <f t="shared" si="147"/>
        <v>0</v>
      </c>
      <c r="J84" s="60">
        <f t="shared" si="147"/>
        <v>0</v>
      </c>
      <c r="K84" s="60">
        <f t="shared" si="147"/>
        <v>0</v>
      </c>
      <c r="L84" s="60">
        <f t="shared" si="147"/>
        <v>0</v>
      </c>
      <c r="M84" s="60">
        <f t="shared" si="147"/>
        <v>0</v>
      </c>
      <c r="N84" s="60">
        <f t="shared" si="147"/>
        <v>0</v>
      </c>
      <c r="O84" s="60">
        <f t="shared" si="147"/>
        <v>0</v>
      </c>
      <c r="P84" s="60">
        <f t="shared" si="147"/>
        <v>0</v>
      </c>
      <c r="Q84" s="60">
        <f t="shared" si="147"/>
        <v>0</v>
      </c>
      <c r="R84" s="60">
        <f t="shared" si="147"/>
        <v>0</v>
      </c>
      <c r="S84" s="60">
        <f t="shared" si="147"/>
        <v>0</v>
      </c>
      <c r="T84" s="60">
        <f t="shared" si="147"/>
        <v>0</v>
      </c>
      <c r="U84" s="60">
        <f t="shared" si="147"/>
        <v>0</v>
      </c>
      <c r="V84" s="60">
        <f t="shared" si="147"/>
        <v>0</v>
      </c>
      <c r="W84" s="60">
        <f t="shared" si="147"/>
        <v>0</v>
      </c>
      <c r="X84" s="60">
        <f t="shared" si="147"/>
        <v>0</v>
      </c>
    </row>
    <row r="85" spans="1:24" ht="15" customHeight="1" x14ac:dyDescent="0.2">
      <c r="C85" s="125" t="s">
        <v>116</v>
      </c>
      <c r="D85" s="99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</row>
    <row r="86" spans="1:24" ht="15" customHeight="1" x14ac:dyDescent="0.2">
      <c r="A86" s="76">
        <v>56</v>
      </c>
      <c r="C86" s="101" t="s">
        <v>78</v>
      </c>
      <c r="D86" s="99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</row>
    <row r="87" spans="1:24" ht="15" customHeight="1" x14ac:dyDescent="0.2">
      <c r="A87" s="76">
        <v>57</v>
      </c>
      <c r="C87" s="101" t="s">
        <v>99</v>
      </c>
      <c r="D87" s="99"/>
      <c r="E87" s="126"/>
      <c r="F87" s="126">
        <f t="shared" ref="F87:F89" si="148">E87</f>
        <v>0</v>
      </c>
      <c r="G87" s="126">
        <f t="shared" ref="G87:G89" si="149">F87</f>
        <v>0</v>
      </c>
      <c r="H87" s="126">
        <f t="shared" ref="H87:H89" si="150">G87</f>
        <v>0</v>
      </c>
      <c r="I87" s="126">
        <f t="shared" ref="I87:I89" si="151">H87</f>
        <v>0</v>
      </c>
      <c r="J87" s="126">
        <f t="shared" ref="J87:J89" si="152">I87</f>
        <v>0</v>
      </c>
      <c r="K87" s="126">
        <f t="shared" ref="K87:K89" si="153">J87</f>
        <v>0</v>
      </c>
      <c r="L87" s="126">
        <f t="shared" ref="L87:L89" si="154">K87</f>
        <v>0</v>
      </c>
      <c r="M87" s="126">
        <f t="shared" ref="M87:M89" si="155">L87</f>
        <v>0</v>
      </c>
      <c r="N87" s="126">
        <f t="shared" ref="N87:N89" si="156">M87</f>
        <v>0</v>
      </c>
      <c r="O87" s="126">
        <f t="shared" ref="O87:O89" si="157">N87</f>
        <v>0</v>
      </c>
      <c r="P87" s="126">
        <f t="shared" ref="P87:P89" si="158">O87</f>
        <v>0</v>
      </c>
      <c r="Q87" s="126">
        <f t="shared" ref="Q87:Q89" si="159">P87</f>
        <v>0</v>
      </c>
      <c r="R87" s="126">
        <f t="shared" ref="R87:R89" si="160">Q87</f>
        <v>0</v>
      </c>
      <c r="S87" s="126">
        <f t="shared" ref="S87:S89" si="161">R87</f>
        <v>0</v>
      </c>
      <c r="T87" s="126">
        <f t="shared" ref="T87:T89" si="162">S87</f>
        <v>0</v>
      </c>
      <c r="U87" s="126">
        <f t="shared" ref="U87:U89" si="163">T87</f>
        <v>0</v>
      </c>
      <c r="V87" s="126">
        <f t="shared" ref="V87:V89" si="164">U87</f>
        <v>0</v>
      </c>
      <c r="W87" s="126">
        <f t="shared" ref="W87:W89" si="165">V87</f>
        <v>0</v>
      </c>
      <c r="X87" s="126">
        <f t="shared" ref="X87:X89" si="166">W87</f>
        <v>0</v>
      </c>
    </row>
    <row r="88" spans="1:24" ht="15" customHeight="1" x14ac:dyDescent="0.2">
      <c r="A88" s="76">
        <v>58</v>
      </c>
      <c r="C88" s="101" t="s">
        <v>65</v>
      </c>
      <c r="D88" s="99"/>
      <c r="E88" s="61"/>
      <c r="F88" s="122">
        <f t="shared" si="148"/>
        <v>0</v>
      </c>
      <c r="G88" s="122">
        <f t="shared" si="149"/>
        <v>0</v>
      </c>
      <c r="H88" s="122">
        <f t="shared" si="150"/>
        <v>0</v>
      </c>
      <c r="I88" s="122">
        <f t="shared" si="151"/>
        <v>0</v>
      </c>
      <c r="J88" s="122">
        <f t="shared" si="152"/>
        <v>0</v>
      </c>
      <c r="K88" s="122">
        <f t="shared" si="153"/>
        <v>0</v>
      </c>
      <c r="L88" s="122">
        <f t="shared" si="154"/>
        <v>0</v>
      </c>
      <c r="M88" s="122">
        <f t="shared" si="155"/>
        <v>0</v>
      </c>
      <c r="N88" s="122">
        <f t="shared" si="156"/>
        <v>0</v>
      </c>
      <c r="O88" s="122">
        <f t="shared" si="157"/>
        <v>0</v>
      </c>
      <c r="P88" s="122">
        <f t="shared" si="158"/>
        <v>0</v>
      </c>
      <c r="Q88" s="122">
        <f t="shared" si="159"/>
        <v>0</v>
      </c>
      <c r="R88" s="122">
        <f t="shared" si="160"/>
        <v>0</v>
      </c>
      <c r="S88" s="122">
        <f t="shared" si="161"/>
        <v>0</v>
      </c>
      <c r="T88" s="122">
        <f t="shared" si="162"/>
        <v>0</v>
      </c>
      <c r="U88" s="122">
        <f t="shared" si="163"/>
        <v>0</v>
      </c>
      <c r="V88" s="122">
        <f t="shared" si="164"/>
        <v>0</v>
      </c>
      <c r="W88" s="122">
        <f t="shared" si="165"/>
        <v>0</v>
      </c>
      <c r="X88" s="122">
        <f t="shared" si="166"/>
        <v>0</v>
      </c>
    </row>
    <row r="89" spans="1:24" ht="15" customHeight="1" x14ac:dyDescent="0.2">
      <c r="A89" s="76">
        <v>59</v>
      </c>
      <c r="C89" s="101" t="s">
        <v>79</v>
      </c>
      <c r="D89" s="99"/>
      <c r="E89" s="62"/>
      <c r="F89" s="123">
        <f t="shared" si="148"/>
        <v>0</v>
      </c>
      <c r="G89" s="123">
        <f t="shared" si="149"/>
        <v>0</v>
      </c>
      <c r="H89" s="123">
        <f t="shared" si="150"/>
        <v>0</v>
      </c>
      <c r="I89" s="123">
        <f t="shared" si="151"/>
        <v>0</v>
      </c>
      <c r="J89" s="123">
        <f t="shared" si="152"/>
        <v>0</v>
      </c>
      <c r="K89" s="123">
        <f t="shared" si="153"/>
        <v>0</v>
      </c>
      <c r="L89" s="123">
        <f t="shared" si="154"/>
        <v>0</v>
      </c>
      <c r="M89" s="123">
        <f t="shared" si="155"/>
        <v>0</v>
      </c>
      <c r="N89" s="123">
        <f t="shared" si="156"/>
        <v>0</v>
      </c>
      <c r="O89" s="123">
        <f t="shared" si="157"/>
        <v>0</v>
      </c>
      <c r="P89" s="123">
        <f t="shared" si="158"/>
        <v>0</v>
      </c>
      <c r="Q89" s="123">
        <f t="shared" si="159"/>
        <v>0</v>
      </c>
      <c r="R89" s="123">
        <f t="shared" si="160"/>
        <v>0</v>
      </c>
      <c r="S89" s="123">
        <f t="shared" si="161"/>
        <v>0</v>
      </c>
      <c r="T89" s="123">
        <f t="shared" si="162"/>
        <v>0</v>
      </c>
      <c r="U89" s="123">
        <f t="shared" si="163"/>
        <v>0</v>
      </c>
      <c r="V89" s="123">
        <f t="shared" si="164"/>
        <v>0</v>
      </c>
      <c r="W89" s="123">
        <f t="shared" si="165"/>
        <v>0</v>
      </c>
      <c r="X89" s="123">
        <f t="shared" si="166"/>
        <v>0</v>
      </c>
    </row>
    <row r="90" spans="1:24" ht="15" customHeight="1" x14ac:dyDescent="0.2">
      <c r="A90" s="76">
        <v>60</v>
      </c>
      <c r="C90" s="101" t="s">
        <v>31</v>
      </c>
      <c r="D90" s="99"/>
      <c r="E90" s="59">
        <f t="shared" ref="E90:X90" si="167">E87*E86</f>
        <v>0</v>
      </c>
      <c r="F90" s="59">
        <f t="shared" si="167"/>
        <v>0</v>
      </c>
      <c r="G90" s="59">
        <f t="shared" si="167"/>
        <v>0</v>
      </c>
      <c r="H90" s="59">
        <f t="shared" si="167"/>
        <v>0</v>
      </c>
      <c r="I90" s="59">
        <f t="shared" si="167"/>
        <v>0</v>
      </c>
      <c r="J90" s="59">
        <f t="shared" si="167"/>
        <v>0</v>
      </c>
      <c r="K90" s="59">
        <f t="shared" si="167"/>
        <v>0</v>
      </c>
      <c r="L90" s="59">
        <f t="shared" si="167"/>
        <v>0</v>
      </c>
      <c r="M90" s="59">
        <f t="shared" si="167"/>
        <v>0</v>
      </c>
      <c r="N90" s="59">
        <f t="shared" si="167"/>
        <v>0</v>
      </c>
      <c r="O90" s="59">
        <f t="shared" si="167"/>
        <v>0</v>
      </c>
      <c r="P90" s="59">
        <f t="shared" si="167"/>
        <v>0</v>
      </c>
      <c r="Q90" s="59">
        <f t="shared" si="167"/>
        <v>0</v>
      </c>
      <c r="R90" s="59">
        <f t="shared" si="167"/>
        <v>0</v>
      </c>
      <c r="S90" s="59">
        <f t="shared" si="167"/>
        <v>0</v>
      </c>
      <c r="T90" s="59">
        <f t="shared" si="167"/>
        <v>0</v>
      </c>
      <c r="U90" s="59">
        <f t="shared" si="167"/>
        <v>0</v>
      </c>
      <c r="V90" s="59">
        <f t="shared" si="167"/>
        <v>0</v>
      </c>
      <c r="W90" s="59">
        <f t="shared" si="167"/>
        <v>0</v>
      </c>
      <c r="X90" s="59">
        <f t="shared" si="167"/>
        <v>0</v>
      </c>
    </row>
    <row r="91" spans="1:24" ht="15" customHeight="1" x14ac:dyDescent="0.2">
      <c r="A91" s="76">
        <v>61</v>
      </c>
      <c r="C91" s="102" t="s">
        <v>100</v>
      </c>
      <c r="D91" s="103"/>
      <c r="E91" s="60">
        <f t="shared" ref="E91:X91" si="168">(E88*E90)+(E89*E86*12)</f>
        <v>0</v>
      </c>
      <c r="F91" s="60">
        <f t="shared" si="168"/>
        <v>0</v>
      </c>
      <c r="G91" s="60">
        <f t="shared" si="168"/>
        <v>0</v>
      </c>
      <c r="H91" s="60">
        <f t="shared" si="168"/>
        <v>0</v>
      </c>
      <c r="I91" s="60">
        <f t="shared" si="168"/>
        <v>0</v>
      </c>
      <c r="J91" s="60">
        <f t="shared" si="168"/>
        <v>0</v>
      </c>
      <c r="K91" s="60">
        <f t="shared" si="168"/>
        <v>0</v>
      </c>
      <c r="L91" s="60">
        <f t="shared" si="168"/>
        <v>0</v>
      </c>
      <c r="M91" s="60">
        <f t="shared" si="168"/>
        <v>0</v>
      </c>
      <c r="N91" s="60">
        <f t="shared" si="168"/>
        <v>0</v>
      </c>
      <c r="O91" s="60">
        <f t="shared" si="168"/>
        <v>0</v>
      </c>
      <c r="P91" s="60">
        <f t="shared" si="168"/>
        <v>0</v>
      </c>
      <c r="Q91" s="60">
        <f t="shared" si="168"/>
        <v>0</v>
      </c>
      <c r="R91" s="60">
        <f t="shared" si="168"/>
        <v>0</v>
      </c>
      <c r="S91" s="60">
        <f t="shared" si="168"/>
        <v>0</v>
      </c>
      <c r="T91" s="60">
        <f t="shared" si="168"/>
        <v>0</v>
      </c>
      <c r="U91" s="60">
        <f t="shared" si="168"/>
        <v>0</v>
      </c>
      <c r="V91" s="60">
        <f t="shared" si="168"/>
        <v>0</v>
      </c>
      <c r="W91" s="60">
        <f t="shared" si="168"/>
        <v>0</v>
      </c>
      <c r="X91" s="60">
        <f t="shared" si="168"/>
        <v>0</v>
      </c>
    </row>
    <row r="92" spans="1:24" ht="15" customHeight="1" x14ac:dyDescent="0.2">
      <c r="C92" s="125" t="s">
        <v>117</v>
      </c>
      <c r="D92" s="99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</row>
    <row r="93" spans="1:24" ht="15" customHeight="1" x14ac:dyDescent="0.2">
      <c r="A93" s="76">
        <v>62</v>
      </c>
      <c r="C93" s="101" t="s">
        <v>78</v>
      </c>
      <c r="D93" s="99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</row>
    <row r="94" spans="1:24" ht="15" customHeight="1" x14ac:dyDescent="0.2">
      <c r="A94" s="76">
        <v>63</v>
      </c>
      <c r="C94" s="101" t="s">
        <v>99</v>
      </c>
      <c r="D94" s="99"/>
      <c r="E94" s="126"/>
      <c r="F94" s="126">
        <f t="shared" ref="F94:F96" si="169">E94</f>
        <v>0</v>
      </c>
      <c r="G94" s="126">
        <f t="shared" ref="G94:G96" si="170">F94</f>
        <v>0</v>
      </c>
      <c r="H94" s="126">
        <f t="shared" ref="H94:H96" si="171">G94</f>
        <v>0</v>
      </c>
      <c r="I94" s="126">
        <f t="shared" ref="I94:I96" si="172">H94</f>
        <v>0</v>
      </c>
      <c r="J94" s="126">
        <f t="shared" ref="J94:J96" si="173">I94</f>
        <v>0</v>
      </c>
      <c r="K94" s="126">
        <f t="shared" ref="K94:K96" si="174">J94</f>
        <v>0</v>
      </c>
      <c r="L94" s="126">
        <f t="shared" ref="L94:L96" si="175">K94</f>
        <v>0</v>
      </c>
      <c r="M94" s="126">
        <f t="shared" ref="M94:M96" si="176">L94</f>
        <v>0</v>
      </c>
      <c r="N94" s="126">
        <f t="shared" ref="N94:N96" si="177">M94</f>
        <v>0</v>
      </c>
      <c r="O94" s="126">
        <f t="shared" ref="O94:O96" si="178">N94</f>
        <v>0</v>
      </c>
      <c r="P94" s="126">
        <f t="shared" ref="P94:P96" si="179">O94</f>
        <v>0</v>
      </c>
      <c r="Q94" s="126">
        <f t="shared" ref="Q94:Q96" si="180">P94</f>
        <v>0</v>
      </c>
      <c r="R94" s="126">
        <f t="shared" ref="R94:R96" si="181">Q94</f>
        <v>0</v>
      </c>
      <c r="S94" s="126">
        <f t="shared" ref="S94:S96" si="182">R94</f>
        <v>0</v>
      </c>
      <c r="T94" s="126">
        <f t="shared" ref="T94:T96" si="183">S94</f>
        <v>0</v>
      </c>
      <c r="U94" s="126">
        <f t="shared" ref="U94:U96" si="184">T94</f>
        <v>0</v>
      </c>
      <c r="V94" s="126">
        <f t="shared" ref="V94:V96" si="185">U94</f>
        <v>0</v>
      </c>
      <c r="W94" s="126">
        <f t="shared" ref="W94:W96" si="186">V94</f>
        <v>0</v>
      </c>
      <c r="X94" s="126">
        <f t="shared" ref="X94:X96" si="187">W94</f>
        <v>0</v>
      </c>
    </row>
    <row r="95" spans="1:24" ht="15" customHeight="1" x14ac:dyDescent="0.2">
      <c r="A95" s="76">
        <v>64</v>
      </c>
      <c r="C95" s="101" t="s">
        <v>65</v>
      </c>
      <c r="D95" s="99"/>
      <c r="E95" s="61"/>
      <c r="F95" s="122">
        <f t="shared" si="169"/>
        <v>0</v>
      </c>
      <c r="G95" s="122">
        <f t="shared" si="170"/>
        <v>0</v>
      </c>
      <c r="H95" s="122">
        <f t="shared" si="171"/>
        <v>0</v>
      </c>
      <c r="I95" s="122">
        <f t="shared" si="172"/>
        <v>0</v>
      </c>
      <c r="J95" s="122">
        <f t="shared" si="173"/>
        <v>0</v>
      </c>
      <c r="K95" s="122">
        <f t="shared" si="174"/>
        <v>0</v>
      </c>
      <c r="L95" s="122">
        <f t="shared" si="175"/>
        <v>0</v>
      </c>
      <c r="M95" s="122">
        <f t="shared" si="176"/>
        <v>0</v>
      </c>
      <c r="N95" s="122">
        <f t="shared" si="177"/>
        <v>0</v>
      </c>
      <c r="O95" s="122">
        <f t="shared" si="178"/>
        <v>0</v>
      </c>
      <c r="P95" s="122">
        <f t="shared" si="179"/>
        <v>0</v>
      </c>
      <c r="Q95" s="122">
        <f t="shared" si="180"/>
        <v>0</v>
      </c>
      <c r="R95" s="122">
        <f t="shared" si="181"/>
        <v>0</v>
      </c>
      <c r="S95" s="122">
        <f t="shared" si="182"/>
        <v>0</v>
      </c>
      <c r="T95" s="122">
        <f t="shared" si="183"/>
        <v>0</v>
      </c>
      <c r="U95" s="122">
        <f t="shared" si="184"/>
        <v>0</v>
      </c>
      <c r="V95" s="122">
        <f t="shared" si="185"/>
        <v>0</v>
      </c>
      <c r="W95" s="122">
        <f t="shared" si="186"/>
        <v>0</v>
      </c>
      <c r="X95" s="122">
        <f t="shared" si="187"/>
        <v>0</v>
      </c>
    </row>
    <row r="96" spans="1:24" ht="15" customHeight="1" x14ac:dyDescent="0.2">
      <c r="A96" s="76">
        <v>65</v>
      </c>
      <c r="C96" s="101" t="s">
        <v>79</v>
      </c>
      <c r="D96" s="99"/>
      <c r="E96" s="62"/>
      <c r="F96" s="123">
        <f t="shared" si="169"/>
        <v>0</v>
      </c>
      <c r="G96" s="123">
        <f t="shared" si="170"/>
        <v>0</v>
      </c>
      <c r="H96" s="123">
        <f t="shared" si="171"/>
        <v>0</v>
      </c>
      <c r="I96" s="123">
        <f t="shared" si="172"/>
        <v>0</v>
      </c>
      <c r="J96" s="123">
        <f t="shared" si="173"/>
        <v>0</v>
      </c>
      <c r="K96" s="123">
        <f t="shared" si="174"/>
        <v>0</v>
      </c>
      <c r="L96" s="123">
        <f t="shared" si="175"/>
        <v>0</v>
      </c>
      <c r="M96" s="123">
        <f t="shared" si="176"/>
        <v>0</v>
      </c>
      <c r="N96" s="123">
        <f t="shared" si="177"/>
        <v>0</v>
      </c>
      <c r="O96" s="123">
        <f t="shared" si="178"/>
        <v>0</v>
      </c>
      <c r="P96" s="123">
        <f t="shared" si="179"/>
        <v>0</v>
      </c>
      <c r="Q96" s="123">
        <f t="shared" si="180"/>
        <v>0</v>
      </c>
      <c r="R96" s="123">
        <f t="shared" si="181"/>
        <v>0</v>
      </c>
      <c r="S96" s="123">
        <f t="shared" si="182"/>
        <v>0</v>
      </c>
      <c r="T96" s="123">
        <f t="shared" si="183"/>
        <v>0</v>
      </c>
      <c r="U96" s="123">
        <f t="shared" si="184"/>
        <v>0</v>
      </c>
      <c r="V96" s="123">
        <f t="shared" si="185"/>
        <v>0</v>
      </c>
      <c r="W96" s="123">
        <f t="shared" si="186"/>
        <v>0</v>
      </c>
      <c r="X96" s="123">
        <f t="shared" si="187"/>
        <v>0</v>
      </c>
    </row>
    <row r="97" spans="1:24" ht="15" customHeight="1" x14ac:dyDescent="0.2">
      <c r="A97" s="76">
        <v>66</v>
      </c>
      <c r="C97" s="101" t="s">
        <v>31</v>
      </c>
      <c r="D97" s="99"/>
      <c r="E97" s="59">
        <f t="shared" ref="E97:X97" si="188">E94*E93</f>
        <v>0</v>
      </c>
      <c r="F97" s="59">
        <f t="shared" si="188"/>
        <v>0</v>
      </c>
      <c r="G97" s="59">
        <f t="shared" si="188"/>
        <v>0</v>
      </c>
      <c r="H97" s="59">
        <f t="shared" si="188"/>
        <v>0</v>
      </c>
      <c r="I97" s="59">
        <f t="shared" si="188"/>
        <v>0</v>
      </c>
      <c r="J97" s="59">
        <f t="shared" si="188"/>
        <v>0</v>
      </c>
      <c r="K97" s="59">
        <f t="shared" si="188"/>
        <v>0</v>
      </c>
      <c r="L97" s="59">
        <f t="shared" si="188"/>
        <v>0</v>
      </c>
      <c r="M97" s="59">
        <f t="shared" si="188"/>
        <v>0</v>
      </c>
      <c r="N97" s="59">
        <f t="shared" si="188"/>
        <v>0</v>
      </c>
      <c r="O97" s="59">
        <f t="shared" si="188"/>
        <v>0</v>
      </c>
      <c r="P97" s="59">
        <f t="shared" si="188"/>
        <v>0</v>
      </c>
      <c r="Q97" s="59">
        <f t="shared" si="188"/>
        <v>0</v>
      </c>
      <c r="R97" s="59">
        <f t="shared" si="188"/>
        <v>0</v>
      </c>
      <c r="S97" s="59">
        <f t="shared" si="188"/>
        <v>0</v>
      </c>
      <c r="T97" s="59">
        <f t="shared" si="188"/>
        <v>0</v>
      </c>
      <c r="U97" s="59">
        <f t="shared" si="188"/>
        <v>0</v>
      </c>
      <c r="V97" s="59">
        <f t="shared" si="188"/>
        <v>0</v>
      </c>
      <c r="W97" s="59">
        <f t="shared" si="188"/>
        <v>0</v>
      </c>
      <c r="X97" s="59">
        <f t="shared" si="188"/>
        <v>0</v>
      </c>
    </row>
    <row r="98" spans="1:24" ht="15" customHeight="1" x14ac:dyDescent="0.2">
      <c r="A98" s="76">
        <v>67</v>
      </c>
      <c r="C98" s="102" t="s">
        <v>100</v>
      </c>
      <c r="D98" s="103"/>
      <c r="E98" s="60">
        <f t="shared" ref="E98:X98" si="189">(E95*E97)+(E96*E93*12)</f>
        <v>0</v>
      </c>
      <c r="F98" s="60">
        <f t="shared" si="189"/>
        <v>0</v>
      </c>
      <c r="G98" s="60">
        <f t="shared" si="189"/>
        <v>0</v>
      </c>
      <c r="H98" s="60">
        <f t="shared" si="189"/>
        <v>0</v>
      </c>
      <c r="I98" s="60">
        <f t="shared" si="189"/>
        <v>0</v>
      </c>
      <c r="J98" s="60">
        <f t="shared" si="189"/>
        <v>0</v>
      </c>
      <c r="K98" s="60">
        <f t="shared" si="189"/>
        <v>0</v>
      </c>
      <c r="L98" s="60">
        <f t="shared" si="189"/>
        <v>0</v>
      </c>
      <c r="M98" s="60">
        <f t="shared" si="189"/>
        <v>0</v>
      </c>
      <c r="N98" s="60">
        <f t="shared" si="189"/>
        <v>0</v>
      </c>
      <c r="O98" s="60">
        <f t="shared" si="189"/>
        <v>0</v>
      </c>
      <c r="P98" s="60">
        <f t="shared" si="189"/>
        <v>0</v>
      </c>
      <c r="Q98" s="60">
        <f t="shared" si="189"/>
        <v>0</v>
      </c>
      <c r="R98" s="60">
        <f t="shared" si="189"/>
        <v>0</v>
      </c>
      <c r="S98" s="60">
        <f t="shared" si="189"/>
        <v>0</v>
      </c>
      <c r="T98" s="60">
        <f t="shared" si="189"/>
        <v>0</v>
      </c>
      <c r="U98" s="60">
        <f t="shared" si="189"/>
        <v>0</v>
      </c>
      <c r="V98" s="60">
        <f t="shared" si="189"/>
        <v>0</v>
      </c>
      <c r="W98" s="60">
        <f t="shared" si="189"/>
        <v>0</v>
      </c>
      <c r="X98" s="60">
        <f t="shared" si="189"/>
        <v>0</v>
      </c>
    </row>
    <row r="99" spans="1:24" ht="15" customHeight="1" x14ac:dyDescent="0.2">
      <c r="C99" s="102"/>
      <c r="D99" s="103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</row>
    <row r="100" spans="1:24" ht="15" customHeight="1" x14ac:dyDescent="0.2">
      <c r="A100" s="76">
        <v>68</v>
      </c>
      <c r="C100" s="79" t="s">
        <v>113</v>
      </c>
      <c r="D100" s="99"/>
      <c r="E100" s="50">
        <f>E97+E90+E83+E76+E69+E62</f>
        <v>6156540</v>
      </c>
      <c r="F100" s="50">
        <f t="shared" ref="F100:X100" si="190">F97+F90+F83+F76+F69+F62</f>
        <v>6156540</v>
      </c>
      <c r="G100" s="50">
        <f t="shared" si="190"/>
        <v>8356540</v>
      </c>
      <c r="H100" s="50">
        <f t="shared" si="190"/>
        <v>8356540</v>
      </c>
      <c r="I100" s="50">
        <f t="shared" si="190"/>
        <v>8356540</v>
      </c>
      <c r="J100" s="50">
        <f t="shared" si="190"/>
        <v>8356540</v>
      </c>
      <c r="K100" s="50">
        <f t="shared" si="190"/>
        <v>8356540</v>
      </c>
      <c r="L100" s="50">
        <f t="shared" si="190"/>
        <v>8356540</v>
      </c>
      <c r="M100" s="50">
        <f t="shared" si="190"/>
        <v>8356540</v>
      </c>
      <c r="N100" s="50">
        <f t="shared" si="190"/>
        <v>8356540</v>
      </c>
      <c r="O100" s="50">
        <f t="shared" si="190"/>
        <v>8356540</v>
      </c>
      <c r="P100" s="50">
        <f t="shared" si="190"/>
        <v>8356540</v>
      </c>
      <c r="Q100" s="50">
        <f t="shared" si="190"/>
        <v>8356540</v>
      </c>
      <c r="R100" s="50">
        <f t="shared" si="190"/>
        <v>8356540</v>
      </c>
      <c r="S100" s="50">
        <f t="shared" si="190"/>
        <v>8356540</v>
      </c>
      <c r="T100" s="50">
        <f t="shared" si="190"/>
        <v>8356540</v>
      </c>
      <c r="U100" s="50">
        <f t="shared" si="190"/>
        <v>8356540</v>
      </c>
      <c r="V100" s="50">
        <f t="shared" si="190"/>
        <v>8356540</v>
      </c>
      <c r="W100" s="50">
        <f t="shared" si="190"/>
        <v>8356540</v>
      </c>
      <c r="X100" s="50">
        <f t="shared" si="190"/>
        <v>8356540</v>
      </c>
    </row>
    <row r="101" spans="1:24" s="31" customFormat="1" ht="15" customHeight="1" x14ac:dyDescent="0.2">
      <c r="A101" s="76">
        <v>69</v>
      </c>
      <c r="B101" s="75"/>
      <c r="C101" s="79" t="s">
        <v>101</v>
      </c>
      <c r="D101" s="99"/>
      <c r="E101" s="51">
        <f t="shared" ref="E101:X101" si="191">E84+E77+E70+E63+E91+E98</f>
        <v>196886.33280000003</v>
      </c>
      <c r="F101" s="51">
        <f t="shared" si="191"/>
        <v>196886.33280000003</v>
      </c>
      <c r="G101" s="51">
        <f t="shared" si="191"/>
        <v>248498.33280000003</v>
      </c>
      <c r="H101" s="51">
        <f t="shared" si="191"/>
        <v>248498.33280000003</v>
      </c>
      <c r="I101" s="51">
        <f t="shared" si="191"/>
        <v>248498.33280000003</v>
      </c>
      <c r="J101" s="51">
        <f t="shared" si="191"/>
        <v>248498.33280000003</v>
      </c>
      <c r="K101" s="51">
        <f t="shared" si="191"/>
        <v>248498.33280000003</v>
      </c>
      <c r="L101" s="51">
        <f t="shared" si="191"/>
        <v>248498.33280000003</v>
      </c>
      <c r="M101" s="51">
        <f t="shared" si="191"/>
        <v>248498.33280000003</v>
      </c>
      <c r="N101" s="51">
        <f t="shared" si="191"/>
        <v>248498.33280000003</v>
      </c>
      <c r="O101" s="51">
        <f t="shared" si="191"/>
        <v>248498.33280000003</v>
      </c>
      <c r="P101" s="51">
        <f t="shared" si="191"/>
        <v>248498.33280000003</v>
      </c>
      <c r="Q101" s="51">
        <f t="shared" si="191"/>
        <v>248498.33280000003</v>
      </c>
      <c r="R101" s="51">
        <f t="shared" si="191"/>
        <v>248498.33280000003</v>
      </c>
      <c r="S101" s="51">
        <f t="shared" si="191"/>
        <v>248498.33280000003</v>
      </c>
      <c r="T101" s="51">
        <f t="shared" si="191"/>
        <v>248498.33280000003</v>
      </c>
      <c r="U101" s="51">
        <f t="shared" si="191"/>
        <v>248498.33280000003</v>
      </c>
      <c r="V101" s="51">
        <f t="shared" si="191"/>
        <v>248498.33280000003</v>
      </c>
      <c r="W101" s="51">
        <f t="shared" si="191"/>
        <v>248498.33280000003</v>
      </c>
      <c r="X101" s="51">
        <f t="shared" si="191"/>
        <v>248498.33280000003</v>
      </c>
    </row>
    <row r="102" spans="1:24" ht="15" customHeight="1" x14ac:dyDescent="0.2">
      <c r="C102" s="79"/>
      <c r="D102" s="99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</row>
    <row r="103" spans="1:24" ht="15" customHeight="1" x14ac:dyDescent="0.2">
      <c r="B103" s="106" t="s">
        <v>114</v>
      </c>
      <c r="D103" s="107"/>
      <c r="E103" s="80"/>
      <c r="F103" s="80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1:24" ht="5.0999999999999996" customHeight="1" x14ac:dyDescent="0.2">
      <c r="C104" s="77"/>
      <c r="D104" s="107"/>
      <c r="E104" s="80"/>
      <c r="F104" s="80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1:24" ht="15" customHeight="1" x14ac:dyDescent="0.2">
      <c r="A105" s="76">
        <v>70</v>
      </c>
      <c r="C105" s="108" t="s">
        <v>118</v>
      </c>
      <c r="D105" s="64"/>
      <c r="E105" s="67">
        <f>D105</f>
        <v>0</v>
      </c>
      <c r="F105" s="67">
        <f>E105</f>
        <v>0</v>
      </c>
      <c r="G105" s="67">
        <f t="shared" ref="G105:X110" si="192">F105</f>
        <v>0</v>
      </c>
      <c r="H105" s="67">
        <f t="shared" si="192"/>
        <v>0</v>
      </c>
      <c r="I105" s="67">
        <f t="shared" si="192"/>
        <v>0</v>
      </c>
      <c r="J105" s="67">
        <f t="shared" si="192"/>
        <v>0</v>
      </c>
      <c r="K105" s="67">
        <f t="shared" si="192"/>
        <v>0</v>
      </c>
      <c r="L105" s="67">
        <f t="shared" si="192"/>
        <v>0</v>
      </c>
      <c r="M105" s="67">
        <f t="shared" si="192"/>
        <v>0</v>
      </c>
      <c r="N105" s="67">
        <f t="shared" si="192"/>
        <v>0</v>
      </c>
      <c r="O105" s="67">
        <f t="shared" si="192"/>
        <v>0</v>
      </c>
      <c r="P105" s="67">
        <f t="shared" si="192"/>
        <v>0</v>
      </c>
      <c r="Q105" s="67">
        <f t="shared" si="192"/>
        <v>0</v>
      </c>
      <c r="R105" s="67">
        <f t="shared" si="192"/>
        <v>0</v>
      </c>
      <c r="S105" s="67">
        <f t="shared" si="192"/>
        <v>0</v>
      </c>
      <c r="T105" s="67">
        <f t="shared" si="192"/>
        <v>0</v>
      </c>
      <c r="U105" s="67">
        <f t="shared" si="192"/>
        <v>0</v>
      </c>
      <c r="V105" s="67">
        <f t="shared" si="192"/>
        <v>0</v>
      </c>
      <c r="W105" s="67">
        <f t="shared" si="192"/>
        <v>0</v>
      </c>
      <c r="X105" s="67">
        <f t="shared" si="192"/>
        <v>0</v>
      </c>
    </row>
    <row r="106" spans="1:24" ht="15" customHeight="1" x14ac:dyDescent="0.2">
      <c r="A106" s="76">
        <v>71</v>
      </c>
      <c r="C106" s="108" t="s">
        <v>119</v>
      </c>
      <c r="D106" s="64"/>
      <c r="E106" s="67">
        <f>D106</f>
        <v>0</v>
      </c>
      <c r="F106" s="67">
        <f t="shared" ref="F106:U110" si="193">E106</f>
        <v>0</v>
      </c>
      <c r="G106" s="67">
        <f t="shared" si="193"/>
        <v>0</v>
      </c>
      <c r="H106" s="67">
        <f t="shared" si="193"/>
        <v>0</v>
      </c>
      <c r="I106" s="67">
        <f t="shared" si="193"/>
        <v>0</v>
      </c>
      <c r="J106" s="67">
        <f t="shared" si="193"/>
        <v>0</v>
      </c>
      <c r="K106" s="67">
        <f t="shared" si="193"/>
        <v>0</v>
      </c>
      <c r="L106" s="67">
        <f t="shared" si="193"/>
        <v>0</v>
      </c>
      <c r="M106" s="67">
        <f t="shared" si="193"/>
        <v>0</v>
      </c>
      <c r="N106" s="67">
        <f t="shared" si="193"/>
        <v>0</v>
      </c>
      <c r="O106" s="67">
        <f t="shared" si="193"/>
        <v>0</v>
      </c>
      <c r="P106" s="67">
        <f t="shared" si="193"/>
        <v>0</v>
      </c>
      <c r="Q106" s="67">
        <f t="shared" si="193"/>
        <v>0</v>
      </c>
      <c r="R106" s="67">
        <f t="shared" si="193"/>
        <v>0</v>
      </c>
      <c r="S106" s="67">
        <f t="shared" si="193"/>
        <v>0</v>
      </c>
      <c r="T106" s="67">
        <f t="shared" si="193"/>
        <v>0</v>
      </c>
      <c r="U106" s="67">
        <f t="shared" si="193"/>
        <v>0</v>
      </c>
      <c r="V106" s="67">
        <f t="shared" si="192"/>
        <v>0</v>
      </c>
      <c r="W106" s="67">
        <f t="shared" si="192"/>
        <v>0</v>
      </c>
      <c r="X106" s="67">
        <f t="shared" si="192"/>
        <v>0</v>
      </c>
    </row>
    <row r="107" spans="1:24" ht="15" customHeight="1" x14ac:dyDescent="0.2">
      <c r="A107" s="76">
        <v>72</v>
      </c>
      <c r="C107" s="108" t="s">
        <v>120</v>
      </c>
      <c r="D107" s="64"/>
      <c r="E107" s="67">
        <f>D107</f>
        <v>0</v>
      </c>
      <c r="F107" s="67">
        <f t="shared" si="193"/>
        <v>0</v>
      </c>
      <c r="G107" s="67">
        <f t="shared" si="192"/>
        <v>0</v>
      </c>
      <c r="H107" s="67">
        <f t="shared" si="192"/>
        <v>0</v>
      </c>
      <c r="I107" s="67">
        <f t="shared" si="192"/>
        <v>0</v>
      </c>
      <c r="J107" s="67">
        <f t="shared" si="192"/>
        <v>0</v>
      </c>
      <c r="K107" s="67">
        <f t="shared" si="192"/>
        <v>0</v>
      </c>
      <c r="L107" s="67">
        <f t="shared" si="192"/>
        <v>0</v>
      </c>
      <c r="M107" s="67">
        <f t="shared" si="192"/>
        <v>0</v>
      </c>
      <c r="N107" s="67">
        <f t="shared" si="192"/>
        <v>0</v>
      </c>
      <c r="O107" s="67">
        <f t="shared" si="192"/>
        <v>0</v>
      </c>
      <c r="P107" s="67">
        <f t="shared" si="192"/>
        <v>0</v>
      </c>
      <c r="Q107" s="67">
        <f t="shared" si="192"/>
        <v>0</v>
      </c>
      <c r="R107" s="67">
        <f t="shared" si="192"/>
        <v>0</v>
      </c>
      <c r="S107" s="67">
        <f t="shared" si="192"/>
        <v>0</v>
      </c>
      <c r="T107" s="67">
        <f t="shared" si="192"/>
        <v>0</v>
      </c>
      <c r="U107" s="67">
        <f t="shared" si="192"/>
        <v>0</v>
      </c>
      <c r="V107" s="67">
        <f t="shared" si="192"/>
        <v>0</v>
      </c>
      <c r="W107" s="67">
        <f t="shared" si="192"/>
        <v>0</v>
      </c>
      <c r="X107" s="67">
        <f t="shared" si="192"/>
        <v>0</v>
      </c>
    </row>
    <row r="108" spans="1:24" ht="15" customHeight="1" x14ac:dyDescent="0.2">
      <c r="A108" s="76">
        <v>73</v>
      </c>
      <c r="C108" s="108" t="s">
        <v>121</v>
      </c>
      <c r="D108" s="64"/>
      <c r="E108" s="67">
        <f>D108</f>
        <v>0</v>
      </c>
      <c r="F108" s="67">
        <f t="shared" si="193"/>
        <v>0</v>
      </c>
      <c r="G108" s="67">
        <f t="shared" si="192"/>
        <v>0</v>
      </c>
      <c r="H108" s="67">
        <f t="shared" si="192"/>
        <v>0</v>
      </c>
      <c r="I108" s="67">
        <f t="shared" si="192"/>
        <v>0</v>
      </c>
      <c r="J108" s="67">
        <f t="shared" si="192"/>
        <v>0</v>
      </c>
      <c r="K108" s="67">
        <f t="shared" si="192"/>
        <v>0</v>
      </c>
      <c r="L108" s="67">
        <f t="shared" si="192"/>
        <v>0</v>
      </c>
      <c r="M108" s="67">
        <f t="shared" si="192"/>
        <v>0</v>
      </c>
      <c r="N108" s="67">
        <f t="shared" si="192"/>
        <v>0</v>
      </c>
      <c r="O108" s="67">
        <f t="shared" si="192"/>
        <v>0</v>
      </c>
      <c r="P108" s="67">
        <f t="shared" si="192"/>
        <v>0</v>
      </c>
      <c r="Q108" s="67">
        <f t="shared" si="192"/>
        <v>0</v>
      </c>
      <c r="R108" s="67">
        <f t="shared" si="192"/>
        <v>0</v>
      </c>
      <c r="S108" s="67">
        <f t="shared" si="192"/>
        <v>0</v>
      </c>
      <c r="T108" s="67">
        <f t="shared" si="192"/>
        <v>0</v>
      </c>
      <c r="U108" s="67">
        <f t="shared" si="192"/>
        <v>0</v>
      </c>
      <c r="V108" s="67">
        <f t="shared" si="192"/>
        <v>0</v>
      </c>
      <c r="W108" s="67">
        <f t="shared" si="192"/>
        <v>0</v>
      </c>
      <c r="X108" s="67">
        <f t="shared" si="192"/>
        <v>0</v>
      </c>
    </row>
    <row r="109" spans="1:24" ht="15" customHeight="1" x14ac:dyDescent="0.2">
      <c r="A109" s="76">
        <v>74</v>
      </c>
      <c r="C109" s="108" t="s">
        <v>122</v>
      </c>
      <c r="D109" s="64"/>
      <c r="E109" s="67">
        <f t="shared" ref="E109:E110" si="194">D109</f>
        <v>0</v>
      </c>
      <c r="F109" s="67">
        <f t="shared" si="193"/>
        <v>0</v>
      </c>
      <c r="G109" s="67">
        <f t="shared" si="192"/>
        <v>0</v>
      </c>
      <c r="H109" s="67">
        <f t="shared" si="192"/>
        <v>0</v>
      </c>
      <c r="I109" s="67">
        <f t="shared" si="192"/>
        <v>0</v>
      </c>
      <c r="J109" s="67">
        <f t="shared" si="192"/>
        <v>0</v>
      </c>
      <c r="K109" s="67">
        <f t="shared" si="192"/>
        <v>0</v>
      </c>
      <c r="L109" s="67">
        <f t="shared" si="192"/>
        <v>0</v>
      </c>
      <c r="M109" s="67">
        <f t="shared" si="192"/>
        <v>0</v>
      </c>
      <c r="N109" s="67">
        <f t="shared" si="192"/>
        <v>0</v>
      </c>
      <c r="O109" s="67">
        <f t="shared" si="192"/>
        <v>0</v>
      </c>
      <c r="P109" s="67">
        <f t="shared" si="192"/>
        <v>0</v>
      </c>
      <c r="Q109" s="67">
        <f t="shared" si="192"/>
        <v>0</v>
      </c>
      <c r="R109" s="67">
        <f t="shared" si="192"/>
        <v>0</v>
      </c>
      <c r="S109" s="67">
        <f t="shared" si="192"/>
        <v>0</v>
      </c>
      <c r="T109" s="67">
        <f t="shared" si="192"/>
        <v>0</v>
      </c>
      <c r="U109" s="67">
        <f t="shared" si="192"/>
        <v>0</v>
      </c>
      <c r="V109" s="67">
        <f t="shared" si="192"/>
        <v>0</v>
      </c>
      <c r="W109" s="67">
        <f t="shared" si="192"/>
        <v>0</v>
      </c>
      <c r="X109" s="67">
        <f t="shared" si="192"/>
        <v>0</v>
      </c>
    </row>
    <row r="110" spans="1:24" ht="15" customHeight="1" x14ac:dyDescent="0.2">
      <c r="A110" s="76">
        <v>75</v>
      </c>
      <c r="C110" s="108" t="s">
        <v>123</v>
      </c>
      <c r="D110" s="64"/>
      <c r="E110" s="67">
        <f t="shared" si="194"/>
        <v>0</v>
      </c>
      <c r="F110" s="67">
        <f t="shared" si="193"/>
        <v>0</v>
      </c>
      <c r="G110" s="67">
        <f t="shared" si="192"/>
        <v>0</v>
      </c>
      <c r="H110" s="67">
        <f t="shared" si="192"/>
        <v>0</v>
      </c>
      <c r="I110" s="67">
        <f t="shared" si="192"/>
        <v>0</v>
      </c>
      <c r="J110" s="67">
        <f t="shared" si="192"/>
        <v>0</v>
      </c>
      <c r="K110" s="67">
        <f t="shared" si="192"/>
        <v>0</v>
      </c>
      <c r="L110" s="67">
        <f t="shared" si="192"/>
        <v>0</v>
      </c>
      <c r="M110" s="67">
        <f t="shared" si="192"/>
        <v>0</v>
      </c>
      <c r="N110" s="67">
        <f t="shared" si="192"/>
        <v>0</v>
      </c>
      <c r="O110" s="67">
        <f t="shared" si="192"/>
        <v>0</v>
      </c>
      <c r="P110" s="67">
        <f t="shared" si="192"/>
        <v>0</v>
      </c>
      <c r="Q110" s="67">
        <f t="shared" si="192"/>
        <v>0</v>
      </c>
      <c r="R110" s="67">
        <f t="shared" si="192"/>
        <v>0</v>
      </c>
      <c r="S110" s="67">
        <f t="shared" si="192"/>
        <v>0</v>
      </c>
      <c r="T110" s="67">
        <f t="shared" si="192"/>
        <v>0</v>
      </c>
      <c r="U110" s="67">
        <f t="shared" si="192"/>
        <v>0</v>
      </c>
      <c r="V110" s="67">
        <f t="shared" si="192"/>
        <v>0</v>
      </c>
      <c r="W110" s="67">
        <f t="shared" si="192"/>
        <v>0</v>
      </c>
      <c r="X110" s="67">
        <f t="shared" si="192"/>
        <v>0</v>
      </c>
    </row>
    <row r="111" spans="1:24" ht="15" customHeight="1" x14ac:dyDescent="0.2">
      <c r="A111" s="76"/>
      <c r="C111" s="108"/>
      <c r="D111" s="109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</row>
    <row r="112" spans="1:24" ht="15" customHeight="1" x14ac:dyDescent="0.2">
      <c r="A112" s="76">
        <v>76</v>
      </c>
      <c r="C112" s="108" t="s">
        <v>141</v>
      </c>
      <c r="D112" s="109"/>
      <c r="E112" s="60">
        <f>(E105*E58)+(E65*E106)+(E107*E72)+(E79*E108)+(E109*E86)+(E93*E110)</f>
        <v>0</v>
      </c>
      <c r="F112" s="60">
        <f t="shared" ref="F112:X112" si="195">(F105*F58)+(F65*F106)+(F107*F72)+(F79*F108)+(F109*F86)+(F93*F110)</f>
        <v>0</v>
      </c>
      <c r="G112" s="60">
        <f t="shared" si="195"/>
        <v>0</v>
      </c>
      <c r="H112" s="60">
        <f t="shared" si="195"/>
        <v>0</v>
      </c>
      <c r="I112" s="60">
        <f t="shared" si="195"/>
        <v>0</v>
      </c>
      <c r="J112" s="60">
        <f t="shared" si="195"/>
        <v>0</v>
      </c>
      <c r="K112" s="60">
        <f t="shared" si="195"/>
        <v>0</v>
      </c>
      <c r="L112" s="60">
        <f t="shared" si="195"/>
        <v>0</v>
      </c>
      <c r="M112" s="60">
        <f t="shared" si="195"/>
        <v>0</v>
      </c>
      <c r="N112" s="60">
        <f t="shared" si="195"/>
        <v>0</v>
      </c>
      <c r="O112" s="60">
        <f t="shared" si="195"/>
        <v>0</v>
      </c>
      <c r="P112" s="60">
        <f t="shared" si="195"/>
        <v>0</v>
      </c>
      <c r="Q112" s="60">
        <f t="shared" si="195"/>
        <v>0</v>
      </c>
      <c r="R112" s="60">
        <f t="shared" si="195"/>
        <v>0</v>
      </c>
      <c r="S112" s="60">
        <f t="shared" si="195"/>
        <v>0</v>
      </c>
      <c r="T112" s="60">
        <f t="shared" si="195"/>
        <v>0</v>
      </c>
      <c r="U112" s="60">
        <f t="shared" si="195"/>
        <v>0</v>
      </c>
      <c r="V112" s="60">
        <f t="shared" si="195"/>
        <v>0</v>
      </c>
      <c r="W112" s="60">
        <f t="shared" si="195"/>
        <v>0</v>
      </c>
      <c r="X112" s="60">
        <f t="shared" si="195"/>
        <v>0</v>
      </c>
    </row>
    <row r="113" spans="1:24" ht="15" customHeight="1" x14ac:dyDescent="0.2">
      <c r="E113" s="80"/>
      <c r="F113" s="80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</row>
    <row r="114" spans="1:24" ht="15" customHeight="1" x14ac:dyDescent="0.2">
      <c r="A114" s="76">
        <v>77</v>
      </c>
      <c r="C114" s="108" t="s">
        <v>135</v>
      </c>
      <c r="D114" s="68"/>
      <c r="E114" s="69">
        <f>D114</f>
        <v>0</v>
      </c>
      <c r="F114" s="69">
        <f t="shared" ref="F114:X114" si="196">E114</f>
        <v>0</v>
      </c>
      <c r="G114" s="69">
        <f t="shared" si="196"/>
        <v>0</v>
      </c>
      <c r="H114" s="69">
        <f t="shared" si="196"/>
        <v>0</v>
      </c>
      <c r="I114" s="69">
        <f t="shared" si="196"/>
        <v>0</v>
      </c>
      <c r="J114" s="69">
        <f t="shared" si="196"/>
        <v>0</v>
      </c>
      <c r="K114" s="69">
        <f t="shared" si="196"/>
        <v>0</v>
      </c>
      <c r="L114" s="69">
        <f t="shared" si="196"/>
        <v>0</v>
      </c>
      <c r="M114" s="69">
        <f t="shared" si="196"/>
        <v>0</v>
      </c>
      <c r="N114" s="69">
        <f t="shared" si="196"/>
        <v>0</v>
      </c>
      <c r="O114" s="69">
        <f t="shared" si="196"/>
        <v>0</v>
      </c>
      <c r="P114" s="69">
        <f t="shared" si="196"/>
        <v>0</v>
      </c>
      <c r="Q114" s="69">
        <f t="shared" si="196"/>
        <v>0</v>
      </c>
      <c r="R114" s="69">
        <f t="shared" si="196"/>
        <v>0</v>
      </c>
      <c r="S114" s="69">
        <f t="shared" si="196"/>
        <v>0</v>
      </c>
      <c r="T114" s="69">
        <f t="shared" si="196"/>
        <v>0</v>
      </c>
      <c r="U114" s="69">
        <f t="shared" si="196"/>
        <v>0</v>
      </c>
      <c r="V114" s="69">
        <f t="shared" si="196"/>
        <v>0</v>
      </c>
      <c r="W114" s="69">
        <f t="shared" si="196"/>
        <v>0</v>
      </c>
      <c r="X114" s="69">
        <f t="shared" si="196"/>
        <v>0</v>
      </c>
    </row>
    <row r="115" spans="1:24" ht="15" customHeight="1" x14ac:dyDescent="0.2">
      <c r="A115" s="76">
        <v>78</v>
      </c>
      <c r="C115" s="108" t="s">
        <v>136</v>
      </c>
      <c r="D115" s="68"/>
      <c r="E115" s="69">
        <f>D115</f>
        <v>0</v>
      </c>
      <c r="F115" s="69">
        <f t="shared" ref="F115:X115" si="197">E115</f>
        <v>0</v>
      </c>
      <c r="G115" s="69">
        <f t="shared" si="197"/>
        <v>0</v>
      </c>
      <c r="H115" s="69">
        <f t="shared" si="197"/>
        <v>0</v>
      </c>
      <c r="I115" s="69">
        <f t="shared" si="197"/>
        <v>0</v>
      </c>
      <c r="J115" s="69">
        <f t="shared" si="197"/>
        <v>0</v>
      </c>
      <c r="K115" s="69">
        <f t="shared" si="197"/>
        <v>0</v>
      </c>
      <c r="L115" s="69">
        <f t="shared" si="197"/>
        <v>0</v>
      </c>
      <c r="M115" s="69">
        <f t="shared" si="197"/>
        <v>0</v>
      </c>
      <c r="N115" s="69">
        <f t="shared" si="197"/>
        <v>0</v>
      </c>
      <c r="O115" s="69">
        <f t="shared" si="197"/>
        <v>0</v>
      </c>
      <c r="P115" s="69">
        <f t="shared" si="197"/>
        <v>0</v>
      </c>
      <c r="Q115" s="69">
        <f t="shared" si="197"/>
        <v>0</v>
      </c>
      <c r="R115" s="69">
        <f t="shared" si="197"/>
        <v>0</v>
      </c>
      <c r="S115" s="69">
        <f t="shared" si="197"/>
        <v>0</v>
      </c>
      <c r="T115" s="69">
        <f t="shared" si="197"/>
        <v>0</v>
      </c>
      <c r="U115" s="69">
        <f t="shared" si="197"/>
        <v>0</v>
      </c>
      <c r="V115" s="69">
        <f t="shared" si="197"/>
        <v>0</v>
      </c>
      <c r="W115" s="69">
        <f t="shared" si="197"/>
        <v>0</v>
      </c>
      <c r="X115" s="69">
        <f t="shared" si="197"/>
        <v>0</v>
      </c>
    </row>
    <row r="116" spans="1:24" ht="15" customHeight="1" x14ac:dyDescent="0.2">
      <c r="A116" s="76">
        <v>79</v>
      </c>
      <c r="C116" s="108" t="s">
        <v>137</v>
      </c>
      <c r="D116" s="68"/>
      <c r="E116" s="69">
        <f>D116</f>
        <v>0</v>
      </c>
      <c r="F116" s="69">
        <f t="shared" ref="F116:X116" si="198">E116</f>
        <v>0</v>
      </c>
      <c r="G116" s="69">
        <f t="shared" si="198"/>
        <v>0</v>
      </c>
      <c r="H116" s="69">
        <f t="shared" si="198"/>
        <v>0</v>
      </c>
      <c r="I116" s="69">
        <f t="shared" si="198"/>
        <v>0</v>
      </c>
      <c r="J116" s="69">
        <f t="shared" si="198"/>
        <v>0</v>
      </c>
      <c r="K116" s="69">
        <f t="shared" si="198"/>
        <v>0</v>
      </c>
      <c r="L116" s="69">
        <f t="shared" si="198"/>
        <v>0</v>
      </c>
      <c r="M116" s="69">
        <f t="shared" si="198"/>
        <v>0</v>
      </c>
      <c r="N116" s="69">
        <f t="shared" si="198"/>
        <v>0</v>
      </c>
      <c r="O116" s="69">
        <f t="shared" si="198"/>
        <v>0</v>
      </c>
      <c r="P116" s="69">
        <f t="shared" si="198"/>
        <v>0</v>
      </c>
      <c r="Q116" s="69">
        <f t="shared" si="198"/>
        <v>0</v>
      </c>
      <c r="R116" s="69">
        <f t="shared" si="198"/>
        <v>0</v>
      </c>
      <c r="S116" s="69">
        <f t="shared" si="198"/>
        <v>0</v>
      </c>
      <c r="T116" s="69">
        <f t="shared" si="198"/>
        <v>0</v>
      </c>
      <c r="U116" s="69">
        <f t="shared" si="198"/>
        <v>0</v>
      </c>
      <c r="V116" s="69">
        <f t="shared" si="198"/>
        <v>0</v>
      </c>
      <c r="W116" s="69">
        <f t="shared" si="198"/>
        <v>0</v>
      </c>
      <c r="X116" s="69">
        <f t="shared" si="198"/>
        <v>0</v>
      </c>
    </row>
    <row r="117" spans="1:24" ht="15" customHeight="1" x14ac:dyDescent="0.2">
      <c r="A117" s="76">
        <v>80</v>
      </c>
      <c r="C117" s="108" t="s">
        <v>138</v>
      </c>
      <c r="D117" s="68"/>
      <c r="E117" s="69">
        <f>D117</f>
        <v>0</v>
      </c>
      <c r="F117" s="69">
        <f t="shared" ref="F117:X119" si="199">E117</f>
        <v>0</v>
      </c>
      <c r="G117" s="69">
        <f t="shared" si="199"/>
        <v>0</v>
      </c>
      <c r="H117" s="69">
        <f t="shared" si="199"/>
        <v>0</v>
      </c>
      <c r="I117" s="69">
        <f t="shared" si="199"/>
        <v>0</v>
      </c>
      <c r="J117" s="69">
        <f t="shared" si="199"/>
        <v>0</v>
      </c>
      <c r="K117" s="69">
        <f t="shared" si="199"/>
        <v>0</v>
      </c>
      <c r="L117" s="69">
        <f t="shared" si="199"/>
        <v>0</v>
      </c>
      <c r="M117" s="69">
        <f t="shared" si="199"/>
        <v>0</v>
      </c>
      <c r="N117" s="69">
        <f t="shared" si="199"/>
        <v>0</v>
      </c>
      <c r="O117" s="69">
        <f t="shared" si="199"/>
        <v>0</v>
      </c>
      <c r="P117" s="69">
        <f t="shared" si="199"/>
        <v>0</v>
      </c>
      <c r="Q117" s="69">
        <f t="shared" si="199"/>
        <v>0</v>
      </c>
      <c r="R117" s="69">
        <f t="shared" si="199"/>
        <v>0</v>
      </c>
      <c r="S117" s="69">
        <f t="shared" si="199"/>
        <v>0</v>
      </c>
      <c r="T117" s="69">
        <f t="shared" si="199"/>
        <v>0</v>
      </c>
      <c r="U117" s="69">
        <f t="shared" si="199"/>
        <v>0</v>
      </c>
      <c r="V117" s="69">
        <f t="shared" si="199"/>
        <v>0</v>
      </c>
      <c r="W117" s="69">
        <f t="shared" si="199"/>
        <v>0</v>
      </c>
      <c r="X117" s="69">
        <f t="shared" si="199"/>
        <v>0</v>
      </c>
    </row>
    <row r="118" spans="1:24" ht="15" customHeight="1" x14ac:dyDescent="0.2">
      <c r="A118" s="76">
        <v>81</v>
      </c>
      <c r="C118" s="108" t="s">
        <v>139</v>
      </c>
      <c r="D118" s="68"/>
      <c r="E118" s="69">
        <f t="shared" ref="E118:E119" si="200">D118</f>
        <v>0</v>
      </c>
      <c r="F118" s="69">
        <f t="shared" si="199"/>
        <v>0</v>
      </c>
      <c r="G118" s="69">
        <f t="shared" si="199"/>
        <v>0</v>
      </c>
      <c r="H118" s="69">
        <f t="shared" si="199"/>
        <v>0</v>
      </c>
      <c r="I118" s="69">
        <f t="shared" si="199"/>
        <v>0</v>
      </c>
      <c r="J118" s="69">
        <f t="shared" si="199"/>
        <v>0</v>
      </c>
      <c r="K118" s="69">
        <f t="shared" si="199"/>
        <v>0</v>
      </c>
      <c r="L118" s="69">
        <f t="shared" si="199"/>
        <v>0</v>
      </c>
      <c r="M118" s="69">
        <f t="shared" si="199"/>
        <v>0</v>
      </c>
      <c r="N118" s="69">
        <f t="shared" si="199"/>
        <v>0</v>
      </c>
      <c r="O118" s="69">
        <f t="shared" si="199"/>
        <v>0</v>
      </c>
      <c r="P118" s="69">
        <f t="shared" si="199"/>
        <v>0</v>
      </c>
      <c r="Q118" s="69">
        <f t="shared" si="199"/>
        <v>0</v>
      </c>
      <c r="R118" s="69">
        <f t="shared" si="199"/>
        <v>0</v>
      </c>
      <c r="S118" s="69">
        <f t="shared" si="199"/>
        <v>0</v>
      </c>
      <c r="T118" s="69">
        <f t="shared" si="199"/>
        <v>0</v>
      </c>
      <c r="U118" s="69">
        <f t="shared" si="199"/>
        <v>0</v>
      </c>
      <c r="V118" s="69">
        <f t="shared" si="199"/>
        <v>0</v>
      </c>
      <c r="W118" s="69">
        <f t="shared" si="199"/>
        <v>0</v>
      </c>
      <c r="X118" s="69">
        <f t="shared" si="199"/>
        <v>0</v>
      </c>
    </row>
    <row r="119" spans="1:24" ht="15" customHeight="1" x14ac:dyDescent="0.2">
      <c r="A119" s="76">
        <v>82</v>
      </c>
      <c r="C119" s="108" t="s">
        <v>140</v>
      </c>
      <c r="D119" s="68"/>
      <c r="E119" s="69">
        <f t="shared" si="200"/>
        <v>0</v>
      </c>
      <c r="F119" s="69">
        <f t="shared" si="199"/>
        <v>0</v>
      </c>
      <c r="G119" s="69">
        <f t="shared" si="199"/>
        <v>0</v>
      </c>
      <c r="H119" s="69">
        <f t="shared" si="199"/>
        <v>0</v>
      </c>
      <c r="I119" s="69">
        <f t="shared" si="199"/>
        <v>0</v>
      </c>
      <c r="J119" s="69">
        <f t="shared" si="199"/>
        <v>0</v>
      </c>
      <c r="K119" s="69">
        <f t="shared" si="199"/>
        <v>0</v>
      </c>
      <c r="L119" s="69">
        <f t="shared" si="199"/>
        <v>0</v>
      </c>
      <c r="M119" s="69">
        <f t="shared" si="199"/>
        <v>0</v>
      </c>
      <c r="N119" s="69">
        <f t="shared" si="199"/>
        <v>0</v>
      </c>
      <c r="O119" s="69">
        <f t="shared" si="199"/>
        <v>0</v>
      </c>
      <c r="P119" s="69">
        <f t="shared" si="199"/>
        <v>0</v>
      </c>
      <c r="Q119" s="69">
        <f t="shared" si="199"/>
        <v>0</v>
      </c>
      <c r="R119" s="69">
        <f t="shared" si="199"/>
        <v>0</v>
      </c>
      <c r="S119" s="69">
        <f t="shared" si="199"/>
        <v>0</v>
      </c>
      <c r="T119" s="69">
        <f t="shared" si="199"/>
        <v>0</v>
      </c>
      <c r="U119" s="69">
        <f t="shared" si="199"/>
        <v>0</v>
      </c>
      <c r="V119" s="69">
        <f t="shared" si="199"/>
        <v>0</v>
      </c>
      <c r="W119" s="69">
        <f t="shared" si="199"/>
        <v>0</v>
      </c>
      <c r="X119" s="69">
        <f t="shared" si="199"/>
        <v>0</v>
      </c>
    </row>
    <row r="120" spans="1:24" ht="15" customHeight="1" x14ac:dyDescent="0.2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ht="15" customHeight="1" x14ac:dyDescent="0.2">
      <c r="A121" s="76">
        <v>83</v>
      </c>
      <c r="C121" s="111" t="s">
        <v>142</v>
      </c>
      <c r="D121" s="25"/>
      <c r="E121" s="60">
        <f>(E114*E62)+(E115*E69)+(E116*E76)+(E117*E83)+(E118*E90)+(E119*E97)</f>
        <v>0</v>
      </c>
      <c r="F121" s="60">
        <f t="shared" ref="F121:X121" si="201">(F114*F62)+(F115*F69)+(F116*F76)+(F117*F83)+(F118*F90)+(F119*F97)</f>
        <v>0</v>
      </c>
      <c r="G121" s="60">
        <f t="shared" si="201"/>
        <v>0</v>
      </c>
      <c r="H121" s="60">
        <f t="shared" si="201"/>
        <v>0</v>
      </c>
      <c r="I121" s="60">
        <f t="shared" si="201"/>
        <v>0</v>
      </c>
      <c r="J121" s="60">
        <f t="shared" si="201"/>
        <v>0</v>
      </c>
      <c r="K121" s="60">
        <f t="shared" si="201"/>
        <v>0</v>
      </c>
      <c r="L121" s="60">
        <f t="shared" si="201"/>
        <v>0</v>
      </c>
      <c r="M121" s="60">
        <f t="shared" si="201"/>
        <v>0</v>
      </c>
      <c r="N121" s="60">
        <f t="shared" si="201"/>
        <v>0</v>
      </c>
      <c r="O121" s="60">
        <f t="shared" si="201"/>
        <v>0</v>
      </c>
      <c r="P121" s="60">
        <f t="shared" si="201"/>
        <v>0</v>
      </c>
      <c r="Q121" s="60">
        <f t="shared" si="201"/>
        <v>0</v>
      </c>
      <c r="R121" s="60">
        <f t="shared" si="201"/>
        <v>0</v>
      </c>
      <c r="S121" s="60">
        <f t="shared" si="201"/>
        <v>0</v>
      </c>
      <c r="T121" s="60">
        <f t="shared" si="201"/>
        <v>0</v>
      </c>
      <c r="U121" s="60">
        <f t="shared" si="201"/>
        <v>0</v>
      </c>
      <c r="V121" s="60">
        <f t="shared" si="201"/>
        <v>0</v>
      </c>
      <c r="W121" s="60">
        <f t="shared" si="201"/>
        <v>0</v>
      </c>
      <c r="X121" s="60">
        <f t="shared" si="201"/>
        <v>0</v>
      </c>
    </row>
    <row r="122" spans="1:24" ht="15" customHeight="1" x14ac:dyDescent="0.2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ht="15" customHeight="1" x14ac:dyDescent="0.2">
      <c r="A123" s="76"/>
      <c r="C123" s="112" t="s">
        <v>102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ht="15" customHeight="1" x14ac:dyDescent="0.2">
      <c r="A124" s="76">
        <v>84</v>
      </c>
      <c r="C124" s="124" t="s">
        <v>103</v>
      </c>
      <c r="D124" s="113"/>
      <c r="E124" s="65">
        <v>10000</v>
      </c>
      <c r="F124" s="65">
        <v>10000</v>
      </c>
      <c r="G124" s="65">
        <v>10000</v>
      </c>
      <c r="H124" s="65">
        <v>10000</v>
      </c>
      <c r="I124" s="65">
        <v>10000</v>
      </c>
      <c r="J124" s="65">
        <v>10000</v>
      </c>
      <c r="K124" s="65">
        <v>10000</v>
      </c>
      <c r="L124" s="65">
        <v>10000</v>
      </c>
      <c r="M124" s="65">
        <v>10000</v>
      </c>
      <c r="N124" s="65">
        <v>10000</v>
      </c>
      <c r="O124" s="65">
        <v>10000</v>
      </c>
      <c r="P124" s="65">
        <v>10000</v>
      </c>
      <c r="Q124" s="65">
        <v>10000</v>
      </c>
      <c r="R124" s="65">
        <v>10000</v>
      </c>
      <c r="S124" s="65">
        <v>10000</v>
      </c>
      <c r="T124" s="65">
        <v>10000</v>
      </c>
      <c r="U124" s="65">
        <v>10000</v>
      </c>
      <c r="V124" s="65">
        <v>10000</v>
      </c>
      <c r="W124" s="65">
        <v>10000</v>
      </c>
      <c r="X124" s="65">
        <v>10000</v>
      </c>
    </row>
    <row r="125" spans="1:24" ht="15" customHeight="1" x14ac:dyDescent="0.2">
      <c r="A125" s="76">
        <v>85</v>
      </c>
      <c r="C125" s="124" t="s">
        <v>103</v>
      </c>
      <c r="D125" s="113"/>
      <c r="E125" s="65">
        <v>5000</v>
      </c>
      <c r="F125" s="65">
        <v>5000</v>
      </c>
      <c r="G125" s="65">
        <v>5000</v>
      </c>
      <c r="H125" s="65">
        <v>5000</v>
      </c>
      <c r="I125" s="65">
        <v>5000</v>
      </c>
      <c r="J125" s="65">
        <v>5000</v>
      </c>
      <c r="K125" s="65">
        <v>5000</v>
      </c>
      <c r="L125" s="65">
        <v>5000</v>
      </c>
      <c r="M125" s="65">
        <v>5000</v>
      </c>
      <c r="N125" s="65">
        <v>5000</v>
      </c>
      <c r="O125" s="65">
        <v>5000</v>
      </c>
      <c r="P125" s="65">
        <v>5000</v>
      </c>
      <c r="Q125" s="65">
        <v>5000</v>
      </c>
      <c r="R125" s="65">
        <v>5000</v>
      </c>
      <c r="S125" s="65">
        <v>5000</v>
      </c>
      <c r="T125" s="65">
        <v>5000</v>
      </c>
      <c r="U125" s="65">
        <v>5000</v>
      </c>
      <c r="V125" s="65">
        <v>5000</v>
      </c>
      <c r="W125" s="65">
        <v>5000</v>
      </c>
      <c r="X125" s="65">
        <v>5000</v>
      </c>
    </row>
    <row r="126" spans="1:24" ht="15" customHeight="1" x14ac:dyDescent="0.2">
      <c r="A126" s="76">
        <v>86</v>
      </c>
      <c r="C126" s="124" t="s">
        <v>103</v>
      </c>
      <c r="D126" s="113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</row>
    <row r="127" spans="1:24" ht="15" customHeight="1" x14ac:dyDescent="0.2">
      <c r="A127" s="76">
        <v>87</v>
      </c>
      <c r="C127" s="124" t="s">
        <v>103</v>
      </c>
      <c r="D127" s="113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</row>
    <row r="128" spans="1:24" ht="15" customHeight="1" x14ac:dyDescent="0.2">
      <c r="A128" s="76">
        <v>88</v>
      </c>
      <c r="C128" s="124" t="s">
        <v>103</v>
      </c>
      <c r="D128" s="113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</row>
    <row r="129" spans="1:24" ht="15" customHeight="1" x14ac:dyDescent="0.2">
      <c r="A129" s="76">
        <v>89</v>
      </c>
      <c r="C129" s="124" t="s">
        <v>103</v>
      </c>
      <c r="D129" s="113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</row>
    <row r="130" spans="1:24" ht="15" customHeight="1" x14ac:dyDescent="0.2">
      <c r="A130" s="76">
        <v>90</v>
      </c>
      <c r="C130" s="124" t="s">
        <v>103</v>
      </c>
      <c r="D130" s="113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</row>
    <row r="131" spans="1:24" ht="15" customHeight="1" x14ac:dyDescent="0.2">
      <c r="A131" s="7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ht="15" customHeight="1" x14ac:dyDescent="0.2">
      <c r="A132" s="76">
        <v>91</v>
      </c>
      <c r="C132" s="111" t="s">
        <v>143</v>
      </c>
      <c r="D132" s="25"/>
      <c r="E132" s="60">
        <f>SUM(E124:E130)</f>
        <v>15000</v>
      </c>
      <c r="F132" s="60">
        <f t="shared" ref="F132:X132" si="202">SUM(F124:F130)</f>
        <v>15000</v>
      </c>
      <c r="G132" s="60">
        <f t="shared" si="202"/>
        <v>15000</v>
      </c>
      <c r="H132" s="60">
        <f t="shared" si="202"/>
        <v>15000</v>
      </c>
      <c r="I132" s="60">
        <f t="shared" si="202"/>
        <v>15000</v>
      </c>
      <c r="J132" s="60">
        <f t="shared" si="202"/>
        <v>15000</v>
      </c>
      <c r="K132" s="60">
        <f t="shared" si="202"/>
        <v>15000</v>
      </c>
      <c r="L132" s="60">
        <f t="shared" si="202"/>
        <v>15000</v>
      </c>
      <c r="M132" s="60">
        <f t="shared" si="202"/>
        <v>15000</v>
      </c>
      <c r="N132" s="60">
        <f t="shared" si="202"/>
        <v>15000</v>
      </c>
      <c r="O132" s="60">
        <f t="shared" si="202"/>
        <v>15000</v>
      </c>
      <c r="P132" s="60">
        <f t="shared" si="202"/>
        <v>15000</v>
      </c>
      <c r="Q132" s="60">
        <f t="shared" si="202"/>
        <v>15000</v>
      </c>
      <c r="R132" s="60">
        <f t="shared" si="202"/>
        <v>15000</v>
      </c>
      <c r="S132" s="60">
        <f t="shared" si="202"/>
        <v>15000</v>
      </c>
      <c r="T132" s="60">
        <f t="shared" si="202"/>
        <v>15000</v>
      </c>
      <c r="U132" s="60">
        <f t="shared" si="202"/>
        <v>15000</v>
      </c>
      <c r="V132" s="60">
        <f t="shared" si="202"/>
        <v>15000</v>
      </c>
      <c r="W132" s="60">
        <f t="shared" si="202"/>
        <v>15000</v>
      </c>
      <c r="X132" s="60">
        <f t="shared" si="202"/>
        <v>15000</v>
      </c>
    </row>
    <row r="133" spans="1:24" ht="15" customHeight="1" x14ac:dyDescent="0.2">
      <c r="A133" s="7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s="31" customFormat="1" ht="15" customHeight="1" x14ac:dyDescent="0.2">
      <c r="A134" s="76">
        <v>92</v>
      </c>
      <c r="B134" s="75"/>
      <c r="C134" s="114" t="s">
        <v>125</v>
      </c>
      <c r="D134" s="115"/>
      <c r="E134" s="51">
        <f t="shared" ref="E134:X134" si="203">E132+E121+E112</f>
        <v>15000</v>
      </c>
      <c r="F134" s="51">
        <f t="shared" si="203"/>
        <v>15000</v>
      </c>
      <c r="G134" s="51">
        <f t="shared" si="203"/>
        <v>15000</v>
      </c>
      <c r="H134" s="51">
        <f t="shared" si="203"/>
        <v>15000</v>
      </c>
      <c r="I134" s="51">
        <f t="shared" si="203"/>
        <v>15000</v>
      </c>
      <c r="J134" s="51">
        <f t="shared" si="203"/>
        <v>15000</v>
      </c>
      <c r="K134" s="51">
        <f t="shared" si="203"/>
        <v>15000</v>
      </c>
      <c r="L134" s="51">
        <f t="shared" si="203"/>
        <v>15000</v>
      </c>
      <c r="M134" s="51">
        <f t="shared" si="203"/>
        <v>15000</v>
      </c>
      <c r="N134" s="51">
        <f t="shared" si="203"/>
        <v>15000</v>
      </c>
      <c r="O134" s="51">
        <f t="shared" si="203"/>
        <v>15000</v>
      </c>
      <c r="P134" s="51">
        <f t="shared" si="203"/>
        <v>15000</v>
      </c>
      <c r="Q134" s="51">
        <f t="shared" si="203"/>
        <v>15000</v>
      </c>
      <c r="R134" s="51">
        <f t="shared" si="203"/>
        <v>15000</v>
      </c>
      <c r="S134" s="51">
        <f t="shared" si="203"/>
        <v>15000</v>
      </c>
      <c r="T134" s="51">
        <f t="shared" si="203"/>
        <v>15000</v>
      </c>
      <c r="U134" s="51">
        <f t="shared" si="203"/>
        <v>15000</v>
      </c>
      <c r="V134" s="51">
        <f t="shared" si="203"/>
        <v>15000</v>
      </c>
      <c r="W134" s="51">
        <f t="shared" si="203"/>
        <v>15000</v>
      </c>
      <c r="X134" s="51">
        <f t="shared" si="203"/>
        <v>15000</v>
      </c>
    </row>
    <row r="135" spans="1:24" ht="15" customHeight="1" x14ac:dyDescent="0.2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ht="15" customHeight="1" x14ac:dyDescent="0.2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ht="15" customHeight="1" x14ac:dyDescent="0.2">
      <c r="B137" s="10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ht="15" customHeight="1" x14ac:dyDescent="0.2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ht="15" customHeight="1" x14ac:dyDescent="0.2">
      <c r="E139" s="116"/>
    </row>
    <row r="140" spans="1:24" ht="15" customHeight="1" x14ac:dyDescent="0.2"/>
    <row r="141" spans="1:24" ht="15" customHeight="1" x14ac:dyDescent="0.2"/>
    <row r="142" spans="1:24" ht="15" customHeight="1" x14ac:dyDescent="0.2"/>
    <row r="143" spans="1:24" ht="15" customHeight="1" x14ac:dyDescent="0.2"/>
    <row r="144" spans="1:24" ht="15" customHeight="1" x14ac:dyDescent="0.2"/>
    <row r="145" spans="5:24" ht="15" customHeight="1" x14ac:dyDescent="0.2"/>
    <row r="146" spans="5:24" ht="15" customHeight="1" x14ac:dyDescent="0.2"/>
    <row r="147" spans="5:24" ht="15" customHeight="1" x14ac:dyDescent="0.2"/>
    <row r="148" spans="5:24" ht="15" customHeight="1" x14ac:dyDescent="0.2"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</row>
    <row r="149" spans="5:24" ht="15" customHeight="1" x14ac:dyDescent="0.2"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</row>
    <row r="150" spans="5:24" ht="15" customHeight="1" x14ac:dyDescent="0.2"/>
    <row r="151" spans="5:24" ht="15" customHeight="1" x14ac:dyDescent="0.2"/>
    <row r="152" spans="5:24" ht="15" customHeight="1" x14ac:dyDescent="0.2"/>
  </sheetData>
  <dataConsolidate/>
  <mergeCells count="3">
    <mergeCell ref="A2:B2"/>
    <mergeCell ref="B4:D4"/>
    <mergeCell ref="A1:B1"/>
  </mergeCells>
  <dataValidations disablePrompts="1" count="1">
    <dataValidation type="list" allowBlank="1" showInputMessage="1" showErrorMessage="1" sqref="D30">
      <formula1>$D$48:$D$53</formula1>
    </dataValidation>
  </dataValidations>
  <pageMargins left="0.7" right="0.7" top="0.75" bottom="0.75" header="0.3" footer="0.3"/>
  <pageSetup paperSize="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Macro2">
                <anchor moveWithCells="1" sizeWithCells="1">
                  <from>
                    <xdr:col>2</xdr:col>
                    <xdr:colOff>2190750</xdr:colOff>
                    <xdr:row>21</xdr:row>
                    <xdr:rowOff>0</xdr:rowOff>
                  </from>
                  <to>
                    <xdr:col>2</xdr:col>
                    <xdr:colOff>3752850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Y150"/>
  <sheetViews>
    <sheetView tabSelected="1" topLeftCell="A7" zoomScaleNormal="100" workbookViewId="0">
      <selection activeCell="B11" sqref="B11"/>
    </sheetView>
  </sheetViews>
  <sheetFormatPr defaultRowHeight="11.25" x14ac:dyDescent="0.2"/>
  <cols>
    <col min="1" max="1" width="9.140625" style="48"/>
    <col min="2" max="2" width="45.7109375" style="1" customWidth="1"/>
    <col min="3" max="23" width="10.7109375" style="1" customWidth="1"/>
    <col min="24" max="24" width="9.140625" style="1"/>
    <col min="25" max="25" width="1.42578125" style="1" bestFit="1" customWidth="1"/>
    <col min="26" max="16384" width="9.140625" style="1"/>
  </cols>
  <sheetData>
    <row r="1" spans="1:23" ht="24.95" customHeight="1" x14ac:dyDescent="0.2">
      <c r="B1" s="135" t="str">
        <f>+'Inputs and Assumptions'!B4:D4</f>
        <v>Test Project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24.95" customHeight="1" x14ac:dyDescent="0.2">
      <c r="B2" s="136" t="s">
        <v>134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5" customHeight="1" x14ac:dyDescent="0.2">
      <c r="B3" s="5"/>
      <c r="C3" s="6"/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8" t="s">
        <v>11</v>
      </c>
      <c r="N3" s="18" t="s">
        <v>21</v>
      </c>
      <c r="O3" s="18" t="s">
        <v>22</v>
      </c>
      <c r="P3" s="18" t="s">
        <v>23</v>
      </c>
      <c r="Q3" s="18" t="s">
        <v>24</v>
      </c>
      <c r="R3" s="18" t="s">
        <v>25</v>
      </c>
      <c r="S3" s="18" t="s">
        <v>26</v>
      </c>
      <c r="T3" s="18" t="s">
        <v>27</v>
      </c>
      <c r="U3" s="18" t="s">
        <v>28</v>
      </c>
      <c r="V3" s="18" t="s">
        <v>29</v>
      </c>
      <c r="W3" s="18" t="s">
        <v>30</v>
      </c>
    </row>
    <row r="4" spans="1:23" ht="15" customHeight="1" x14ac:dyDescent="0.2">
      <c r="B4" s="7"/>
      <c r="C4" s="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" customHeight="1" x14ac:dyDescent="0.2">
      <c r="A5" s="48">
        <v>1</v>
      </c>
      <c r="B5" s="29" t="s">
        <v>12</v>
      </c>
      <c r="C5" s="10"/>
      <c r="D5" s="20">
        <f>'Inputs and Assumptions'!D20-'Inputs and Assumptions'!D22</f>
        <v>1500000</v>
      </c>
      <c r="E5" s="20">
        <f t="shared" ref="E5:W5" si="0">D5</f>
        <v>1500000</v>
      </c>
      <c r="F5" s="20">
        <f t="shared" si="0"/>
        <v>1500000</v>
      </c>
      <c r="G5" s="20">
        <f t="shared" si="0"/>
        <v>1500000</v>
      </c>
      <c r="H5" s="20">
        <f t="shared" si="0"/>
        <v>1500000</v>
      </c>
      <c r="I5" s="20">
        <f t="shared" si="0"/>
        <v>1500000</v>
      </c>
      <c r="J5" s="20">
        <f t="shared" si="0"/>
        <v>1500000</v>
      </c>
      <c r="K5" s="20">
        <f t="shared" si="0"/>
        <v>1500000</v>
      </c>
      <c r="L5" s="20">
        <f t="shared" si="0"/>
        <v>1500000</v>
      </c>
      <c r="M5" s="20">
        <f t="shared" si="0"/>
        <v>1500000</v>
      </c>
      <c r="N5" s="20">
        <f t="shared" si="0"/>
        <v>1500000</v>
      </c>
      <c r="O5" s="20">
        <f t="shared" si="0"/>
        <v>1500000</v>
      </c>
      <c r="P5" s="20">
        <f t="shared" si="0"/>
        <v>1500000</v>
      </c>
      <c r="Q5" s="20">
        <f t="shared" si="0"/>
        <v>1500000</v>
      </c>
      <c r="R5" s="20">
        <f t="shared" si="0"/>
        <v>1500000</v>
      </c>
      <c r="S5" s="20">
        <f t="shared" si="0"/>
        <v>1500000</v>
      </c>
      <c r="T5" s="20">
        <f t="shared" si="0"/>
        <v>1500000</v>
      </c>
      <c r="U5" s="20">
        <f t="shared" si="0"/>
        <v>1500000</v>
      </c>
      <c r="V5" s="20">
        <f t="shared" si="0"/>
        <v>1500000</v>
      </c>
      <c r="W5" s="20">
        <f t="shared" si="0"/>
        <v>1500000</v>
      </c>
    </row>
    <row r="6" spans="1:23" ht="15" customHeight="1" x14ac:dyDescent="0.2">
      <c r="A6" s="48">
        <v>2</v>
      </c>
      <c r="B6" s="29" t="s">
        <v>13</v>
      </c>
      <c r="C6" s="10"/>
      <c r="D6" s="21">
        <f>-D16</f>
        <v>-37500</v>
      </c>
      <c r="E6" s="21">
        <f t="shared" ref="E6:W6" si="1">D6-E16</f>
        <v>-75000</v>
      </c>
      <c r="F6" s="21">
        <f t="shared" si="1"/>
        <v>-112500</v>
      </c>
      <c r="G6" s="21">
        <f t="shared" si="1"/>
        <v>-150000</v>
      </c>
      <c r="H6" s="21">
        <f t="shared" si="1"/>
        <v>-187500</v>
      </c>
      <c r="I6" s="21">
        <f t="shared" si="1"/>
        <v>-225000</v>
      </c>
      <c r="J6" s="21">
        <f t="shared" si="1"/>
        <v>-262500</v>
      </c>
      <c r="K6" s="21">
        <f t="shared" si="1"/>
        <v>-300000</v>
      </c>
      <c r="L6" s="21">
        <f t="shared" si="1"/>
        <v>-337500</v>
      </c>
      <c r="M6" s="21">
        <f t="shared" si="1"/>
        <v>-375000</v>
      </c>
      <c r="N6" s="21">
        <f t="shared" si="1"/>
        <v>-412500</v>
      </c>
      <c r="O6" s="21">
        <f t="shared" si="1"/>
        <v>-450000</v>
      </c>
      <c r="P6" s="21">
        <f t="shared" si="1"/>
        <v>-487500</v>
      </c>
      <c r="Q6" s="21">
        <f t="shared" si="1"/>
        <v>-525000</v>
      </c>
      <c r="R6" s="21">
        <f t="shared" si="1"/>
        <v>-562500</v>
      </c>
      <c r="S6" s="21">
        <f t="shared" si="1"/>
        <v>-600000</v>
      </c>
      <c r="T6" s="21">
        <f t="shared" si="1"/>
        <v>-637500</v>
      </c>
      <c r="U6" s="21">
        <f t="shared" si="1"/>
        <v>-675000</v>
      </c>
      <c r="V6" s="21">
        <f t="shared" si="1"/>
        <v>-712500</v>
      </c>
      <c r="W6" s="21">
        <f t="shared" si="1"/>
        <v>-750000</v>
      </c>
    </row>
    <row r="7" spans="1:23" s="2" customFormat="1" ht="15" customHeight="1" x14ac:dyDescent="0.2">
      <c r="A7" s="48">
        <v>3</v>
      </c>
      <c r="B7" s="30" t="s">
        <v>14</v>
      </c>
      <c r="C7" s="11"/>
      <c r="D7" s="22">
        <f t="shared" ref="D7:W7" si="2">D6+D5</f>
        <v>1462500</v>
      </c>
      <c r="E7" s="22">
        <f t="shared" si="2"/>
        <v>1425000</v>
      </c>
      <c r="F7" s="22">
        <f t="shared" si="2"/>
        <v>1387500</v>
      </c>
      <c r="G7" s="22">
        <f t="shared" si="2"/>
        <v>1350000</v>
      </c>
      <c r="H7" s="22">
        <f t="shared" si="2"/>
        <v>1312500</v>
      </c>
      <c r="I7" s="22">
        <f t="shared" si="2"/>
        <v>1275000</v>
      </c>
      <c r="J7" s="22">
        <f t="shared" si="2"/>
        <v>1237500</v>
      </c>
      <c r="K7" s="22">
        <f t="shared" si="2"/>
        <v>1200000</v>
      </c>
      <c r="L7" s="22">
        <f t="shared" si="2"/>
        <v>1162500</v>
      </c>
      <c r="M7" s="22">
        <f t="shared" si="2"/>
        <v>1125000</v>
      </c>
      <c r="N7" s="22">
        <f t="shared" si="2"/>
        <v>1087500</v>
      </c>
      <c r="O7" s="22">
        <f t="shared" si="2"/>
        <v>1050000</v>
      </c>
      <c r="P7" s="22">
        <f t="shared" si="2"/>
        <v>1012500</v>
      </c>
      <c r="Q7" s="22">
        <f t="shared" si="2"/>
        <v>975000</v>
      </c>
      <c r="R7" s="22">
        <f t="shared" si="2"/>
        <v>937500</v>
      </c>
      <c r="S7" s="22">
        <f t="shared" si="2"/>
        <v>900000</v>
      </c>
      <c r="T7" s="22">
        <f t="shared" si="2"/>
        <v>862500</v>
      </c>
      <c r="U7" s="22">
        <f t="shared" si="2"/>
        <v>825000</v>
      </c>
      <c r="V7" s="22">
        <f t="shared" si="2"/>
        <v>787500</v>
      </c>
      <c r="W7" s="22">
        <f t="shared" si="2"/>
        <v>750000</v>
      </c>
    </row>
    <row r="8" spans="1:23" ht="15" customHeight="1" x14ac:dyDescent="0.2">
      <c r="A8" s="48">
        <v>4</v>
      </c>
      <c r="B8" s="29" t="s">
        <v>15</v>
      </c>
      <c r="C8" s="10"/>
      <c r="D8" s="20">
        <f>-'Inputs and Assumptions'!E44</f>
        <v>-203475.00000000006</v>
      </c>
      <c r="E8" s="20">
        <f>-SUM('Inputs and Assumptions'!$E44:F44)</f>
        <v>-215646.54000000007</v>
      </c>
      <c r="F8" s="20">
        <f>-SUM('Inputs and Assumptions'!$E44:G44)</f>
        <v>-225834.36000000007</v>
      </c>
      <c r="G8" s="20">
        <f>-SUM('Inputs and Assumptions'!$E44:H44)</f>
        <v>-234192.18000000008</v>
      </c>
      <c r="H8" s="20">
        <f>-SUM('Inputs and Assumptions'!$E44:I44)</f>
        <v>-240851.76000000007</v>
      </c>
      <c r="I8" s="20">
        <f>-SUM('Inputs and Assumptions'!$E44:J44)</f>
        <v>-245944.86000000007</v>
      </c>
      <c r="J8" s="20">
        <f>-SUM('Inputs and Assumptions'!$E44:K44)</f>
        <v>-249584.94000000006</v>
      </c>
      <c r="K8" s="20">
        <f>-SUM('Inputs and Assumptions'!$E44:L44)</f>
        <v>-251885.46000000005</v>
      </c>
      <c r="L8" s="20">
        <f>-SUM('Inputs and Assumptions'!$E44:M44)</f>
        <v>-253966.38000000006</v>
      </c>
      <c r="M8" s="20">
        <f>-SUM('Inputs and Assumptions'!$E44:N44)</f>
        <v>-256043.64000000007</v>
      </c>
      <c r="N8" s="20">
        <f>-SUM('Inputs and Assumptions'!$E44:O44)</f>
        <v>-258124.56000000006</v>
      </c>
      <c r="O8" s="20">
        <f>-SUM('Inputs and Assumptions'!$E44:P44)</f>
        <v>-260201.82000000007</v>
      </c>
      <c r="P8" s="20">
        <f>-SUM('Inputs and Assumptions'!$E44:Q44)</f>
        <v>-262282.74000000005</v>
      </c>
      <c r="Q8" s="20">
        <f>-SUM('Inputs and Assumptions'!$E44:R44)</f>
        <v>-264360.00000000006</v>
      </c>
      <c r="R8" s="20">
        <f>-SUM('Inputs and Assumptions'!$E44:S44)</f>
        <v>-266440.92000000004</v>
      </c>
      <c r="S8" s="20">
        <f>-SUM('Inputs and Assumptions'!$E44:T44)</f>
        <v>-268518.18000000005</v>
      </c>
      <c r="T8" s="20">
        <f>-SUM('Inputs and Assumptions'!$E44:U44)</f>
        <v>-270599.10000000003</v>
      </c>
      <c r="U8" s="20">
        <f>-SUM('Inputs and Assumptions'!$E44:V44)</f>
        <v>-272676.36000000004</v>
      </c>
      <c r="V8" s="20">
        <f>-SUM('Inputs and Assumptions'!$E44:W44)</f>
        <v>-274757.28000000003</v>
      </c>
      <c r="W8" s="20">
        <f>-SUM('Inputs and Assumptions'!$E44:X44)</f>
        <v>-276834.54000000004</v>
      </c>
    </row>
    <row r="9" spans="1:23" s="2" customFormat="1" ht="15" customHeight="1" x14ac:dyDescent="0.2">
      <c r="A9" s="48">
        <v>5</v>
      </c>
      <c r="B9" s="30" t="s">
        <v>89</v>
      </c>
      <c r="C9" s="11"/>
      <c r="D9" s="22">
        <f t="shared" ref="D9:W9" si="3">SUM(D7:D8)</f>
        <v>1259025</v>
      </c>
      <c r="E9" s="22">
        <f t="shared" si="3"/>
        <v>1209353.46</v>
      </c>
      <c r="F9" s="22">
        <f t="shared" si="3"/>
        <v>1161665.6399999999</v>
      </c>
      <c r="G9" s="22">
        <f t="shared" si="3"/>
        <v>1115807.8199999998</v>
      </c>
      <c r="H9" s="22">
        <f t="shared" si="3"/>
        <v>1071648.24</v>
      </c>
      <c r="I9" s="22">
        <f t="shared" si="3"/>
        <v>1029055.1399999999</v>
      </c>
      <c r="J9" s="22">
        <f t="shared" si="3"/>
        <v>987915.05999999994</v>
      </c>
      <c r="K9" s="22">
        <f t="shared" si="3"/>
        <v>948114.53999999992</v>
      </c>
      <c r="L9" s="22">
        <f t="shared" si="3"/>
        <v>908533.61999999988</v>
      </c>
      <c r="M9" s="22">
        <f t="shared" si="3"/>
        <v>868956.35999999987</v>
      </c>
      <c r="N9" s="22">
        <f t="shared" si="3"/>
        <v>829375.44</v>
      </c>
      <c r="O9" s="22">
        <f t="shared" si="3"/>
        <v>789798.17999999993</v>
      </c>
      <c r="P9" s="22">
        <f t="shared" si="3"/>
        <v>750217.26</v>
      </c>
      <c r="Q9" s="22">
        <f t="shared" si="3"/>
        <v>710640</v>
      </c>
      <c r="R9" s="22">
        <f t="shared" si="3"/>
        <v>671059.07999999996</v>
      </c>
      <c r="S9" s="22">
        <f t="shared" si="3"/>
        <v>631481.81999999995</v>
      </c>
      <c r="T9" s="22">
        <f t="shared" si="3"/>
        <v>591900.89999999991</v>
      </c>
      <c r="U9" s="22">
        <f t="shared" si="3"/>
        <v>552323.6399999999</v>
      </c>
      <c r="V9" s="22">
        <f t="shared" si="3"/>
        <v>512742.72</v>
      </c>
      <c r="W9" s="22">
        <f t="shared" si="3"/>
        <v>473165.45999999996</v>
      </c>
    </row>
    <row r="10" spans="1:23" s="2" customFormat="1" ht="15" customHeight="1" x14ac:dyDescent="0.2">
      <c r="A10" s="48">
        <v>6</v>
      </c>
      <c r="B10" s="30" t="s">
        <v>88</v>
      </c>
      <c r="C10" s="11"/>
      <c r="D10" s="38">
        <f>AVERAGE(D5,D9)</f>
        <v>1379512.5</v>
      </c>
      <c r="E10" s="38">
        <f t="shared" ref="E10:W10" si="4">AVERAGE(E9,D9)</f>
        <v>1234189.23</v>
      </c>
      <c r="F10" s="38">
        <f t="shared" si="4"/>
        <v>1185509.5499999998</v>
      </c>
      <c r="G10" s="38">
        <f t="shared" si="4"/>
        <v>1138736.73</v>
      </c>
      <c r="H10" s="38">
        <f t="shared" si="4"/>
        <v>1093728.0299999998</v>
      </c>
      <c r="I10" s="38">
        <f t="shared" si="4"/>
        <v>1050351.69</v>
      </c>
      <c r="J10" s="38">
        <f t="shared" si="4"/>
        <v>1008485.0999999999</v>
      </c>
      <c r="K10" s="38">
        <f t="shared" si="4"/>
        <v>968014.79999999993</v>
      </c>
      <c r="L10" s="38">
        <f t="shared" si="4"/>
        <v>928324.07999999984</v>
      </c>
      <c r="M10" s="38">
        <f t="shared" si="4"/>
        <v>888744.98999999987</v>
      </c>
      <c r="N10" s="38">
        <f t="shared" si="4"/>
        <v>849165.89999999991</v>
      </c>
      <c r="O10" s="38">
        <f t="shared" si="4"/>
        <v>809586.80999999994</v>
      </c>
      <c r="P10" s="38">
        <f t="shared" si="4"/>
        <v>770007.72</v>
      </c>
      <c r="Q10" s="38">
        <f t="shared" si="4"/>
        <v>730428.63</v>
      </c>
      <c r="R10" s="38">
        <f t="shared" si="4"/>
        <v>690849.54</v>
      </c>
      <c r="S10" s="38">
        <f t="shared" si="4"/>
        <v>651270.44999999995</v>
      </c>
      <c r="T10" s="38">
        <f t="shared" si="4"/>
        <v>611691.35999999987</v>
      </c>
      <c r="U10" s="38">
        <f t="shared" si="4"/>
        <v>572112.2699999999</v>
      </c>
      <c r="V10" s="38">
        <f t="shared" si="4"/>
        <v>532533.17999999993</v>
      </c>
      <c r="W10" s="38">
        <f t="shared" si="4"/>
        <v>492954.08999999997</v>
      </c>
    </row>
    <row r="11" spans="1:23" ht="15" customHeight="1" x14ac:dyDescent="0.2">
      <c r="B11" s="19"/>
      <c r="C11" s="12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</row>
    <row r="12" spans="1:23" ht="15" customHeight="1" x14ac:dyDescent="0.2">
      <c r="A12" s="48">
        <v>7</v>
      </c>
      <c r="B12" s="19" t="s">
        <v>31</v>
      </c>
      <c r="C12" s="9"/>
      <c r="D12" s="25">
        <f>'Inputs and Assumptions'!E100</f>
        <v>6156540</v>
      </c>
      <c r="E12" s="25">
        <f>'Inputs and Assumptions'!F100</f>
        <v>6156540</v>
      </c>
      <c r="F12" s="25">
        <f>'Inputs and Assumptions'!G100</f>
        <v>8356540</v>
      </c>
      <c r="G12" s="25">
        <f>'Inputs and Assumptions'!H100</f>
        <v>8356540</v>
      </c>
      <c r="H12" s="25">
        <f>'Inputs and Assumptions'!I100</f>
        <v>8356540</v>
      </c>
      <c r="I12" s="25">
        <f>'Inputs and Assumptions'!J100</f>
        <v>8356540</v>
      </c>
      <c r="J12" s="25">
        <f>'Inputs and Assumptions'!K100</f>
        <v>8356540</v>
      </c>
      <c r="K12" s="25">
        <f>'Inputs and Assumptions'!L100</f>
        <v>8356540</v>
      </c>
      <c r="L12" s="25">
        <f>'Inputs and Assumptions'!M100</f>
        <v>8356540</v>
      </c>
      <c r="M12" s="25">
        <f>'Inputs and Assumptions'!N100</f>
        <v>8356540</v>
      </c>
      <c r="N12" s="25">
        <f>'Inputs and Assumptions'!O100</f>
        <v>8356540</v>
      </c>
      <c r="O12" s="25">
        <f>'Inputs and Assumptions'!P100</f>
        <v>8356540</v>
      </c>
      <c r="P12" s="25">
        <f>'Inputs and Assumptions'!Q100</f>
        <v>8356540</v>
      </c>
      <c r="Q12" s="25">
        <f>'Inputs and Assumptions'!R100</f>
        <v>8356540</v>
      </c>
      <c r="R12" s="25">
        <f>'Inputs and Assumptions'!S100</f>
        <v>8356540</v>
      </c>
      <c r="S12" s="25">
        <f>'Inputs and Assumptions'!T100</f>
        <v>8356540</v>
      </c>
      <c r="T12" s="25">
        <f>'Inputs and Assumptions'!U100</f>
        <v>8356540</v>
      </c>
      <c r="U12" s="25">
        <f>'Inputs and Assumptions'!V100</f>
        <v>8356540</v>
      </c>
      <c r="V12" s="25">
        <f>'Inputs and Assumptions'!W100</f>
        <v>8356540</v>
      </c>
      <c r="W12" s="25">
        <f>'Inputs and Assumptions'!X100</f>
        <v>8356540</v>
      </c>
    </row>
    <row r="13" spans="1:23" ht="15" customHeight="1" x14ac:dyDescent="0.2">
      <c r="A13" s="48">
        <v>8</v>
      </c>
      <c r="B13" s="19" t="s">
        <v>104</v>
      </c>
      <c r="C13" s="12"/>
      <c r="D13" s="26">
        <f t="shared" ref="D13:W13" si="5">D15/D12</f>
        <v>3.1980029821945449E-2</v>
      </c>
      <c r="E13" s="26">
        <f t="shared" si="5"/>
        <v>3.1980029821945449E-2</v>
      </c>
      <c r="F13" s="26">
        <f t="shared" si="5"/>
        <v>2.973698837078504E-2</v>
      </c>
      <c r="G13" s="26">
        <f t="shared" si="5"/>
        <v>2.973698837078504E-2</v>
      </c>
      <c r="H13" s="26">
        <f t="shared" si="5"/>
        <v>2.973698837078504E-2</v>
      </c>
      <c r="I13" s="26">
        <f t="shared" si="5"/>
        <v>2.973698837078504E-2</v>
      </c>
      <c r="J13" s="26">
        <f t="shared" si="5"/>
        <v>2.973698837078504E-2</v>
      </c>
      <c r="K13" s="26">
        <f t="shared" si="5"/>
        <v>2.973698837078504E-2</v>
      </c>
      <c r="L13" s="26">
        <f t="shared" si="5"/>
        <v>2.973698837078504E-2</v>
      </c>
      <c r="M13" s="26">
        <f t="shared" si="5"/>
        <v>2.973698837078504E-2</v>
      </c>
      <c r="N13" s="26">
        <f t="shared" si="5"/>
        <v>2.973698837078504E-2</v>
      </c>
      <c r="O13" s="26">
        <f t="shared" si="5"/>
        <v>2.973698837078504E-2</v>
      </c>
      <c r="P13" s="26">
        <f t="shared" si="5"/>
        <v>2.973698837078504E-2</v>
      </c>
      <c r="Q13" s="26">
        <f t="shared" si="5"/>
        <v>2.973698837078504E-2</v>
      </c>
      <c r="R13" s="26">
        <f t="shared" si="5"/>
        <v>2.973698837078504E-2</v>
      </c>
      <c r="S13" s="26">
        <f t="shared" si="5"/>
        <v>2.973698837078504E-2</v>
      </c>
      <c r="T13" s="26">
        <f t="shared" si="5"/>
        <v>2.973698837078504E-2</v>
      </c>
      <c r="U13" s="26">
        <f t="shared" si="5"/>
        <v>2.973698837078504E-2</v>
      </c>
      <c r="V13" s="26">
        <f t="shared" si="5"/>
        <v>2.973698837078504E-2</v>
      </c>
      <c r="W13" s="26">
        <f t="shared" si="5"/>
        <v>2.973698837078504E-2</v>
      </c>
    </row>
    <row r="14" spans="1:23" ht="5.0999999999999996" customHeight="1" x14ac:dyDescent="0.2">
      <c r="B14" s="19"/>
      <c r="C14" s="12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3" ht="15" customHeight="1" x14ac:dyDescent="0.2">
      <c r="A15" s="48">
        <v>9</v>
      </c>
      <c r="B15" s="19" t="s">
        <v>16</v>
      </c>
      <c r="C15" s="12"/>
      <c r="D15" s="24">
        <f>'Inputs and Assumptions'!E101</f>
        <v>196886.33280000003</v>
      </c>
      <c r="E15" s="24">
        <f>'Inputs and Assumptions'!F101</f>
        <v>196886.33280000003</v>
      </c>
      <c r="F15" s="24">
        <f>'Inputs and Assumptions'!G101</f>
        <v>248498.33280000003</v>
      </c>
      <c r="G15" s="24">
        <f>'Inputs and Assumptions'!H101</f>
        <v>248498.33280000003</v>
      </c>
      <c r="H15" s="24">
        <f>'Inputs and Assumptions'!I101</f>
        <v>248498.33280000003</v>
      </c>
      <c r="I15" s="24">
        <f>'Inputs and Assumptions'!J101</f>
        <v>248498.33280000003</v>
      </c>
      <c r="J15" s="24">
        <f>'Inputs and Assumptions'!K101</f>
        <v>248498.33280000003</v>
      </c>
      <c r="K15" s="24">
        <f>'Inputs and Assumptions'!L101</f>
        <v>248498.33280000003</v>
      </c>
      <c r="L15" s="24">
        <f>'Inputs and Assumptions'!M101</f>
        <v>248498.33280000003</v>
      </c>
      <c r="M15" s="24">
        <f>'Inputs and Assumptions'!N101</f>
        <v>248498.33280000003</v>
      </c>
      <c r="N15" s="24">
        <f>'Inputs and Assumptions'!O101</f>
        <v>248498.33280000003</v>
      </c>
      <c r="O15" s="24">
        <f>'Inputs and Assumptions'!P101</f>
        <v>248498.33280000003</v>
      </c>
      <c r="P15" s="24">
        <f>'Inputs and Assumptions'!Q101</f>
        <v>248498.33280000003</v>
      </c>
      <c r="Q15" s="24">
        <f>'Inputs and Assumptions'!R101</f>
        <v>248498.33280000003</v>
      </c>
      <c r="R15" s="24">
        <f>'Inputs and Assumptions'!S101</f>
        <v>248498.33280000003</v>
      </c>
      <c r="S15" s="24">
        <f>'Inputs and Assumptions'!T101</f>
        <v>248498.33280000003</v>
      </c>
      <c r="T15" s="24">
        <f>'Inputs and Assumptions'!U101</f>
        <v>248498.33280000003</v>
      </c>
      <c r="U15" s="24">
        <f>'Inputs and Assumptions'!V101</f>
        <v>248498.33280000003</v>
      </c>
      <c r="V15" s="24">
        <f>'Inputs and Assumptions'!W101</f>
        <v>248498.33280000003</v>
      </c>
      <c r="W15" s="24">
        <f>'Inputs and Assumptions'!X101</f>
        <v>248498.33280000003</v>
      </c>
    </row>
    <row r="16" spans="1:23" ht="15" customHeight="1" x14ac:dyDescent="0.2">
      <c r="A16" s="48">
        <v>10</v>
      </c>
      <c r="B16" s="29" t="s">
        <v>17</v>
      </c>
      <c r="C16" s="13"/>
      <c r="D16" s="27">
        <f>'Inputs and Assumptions'!E42</f>
        <v>37500</v>
      </c>
      <c r="E16" s="27">
        <f>'Inputs and Assumptions'!F42</f>
        <v>37500</v>
      </c>
      <c r="F16" s="27">
        <f>'Inputs and Assumptions'!G42</f>
        <v>37500</v>
      </c>
      <c r="G16" s="27">
        <f>'Inputs and Assumptions'!H42</f>
        <v>37500</v>
      </c>
      <c r="H16" s="27">
        <f>'Inputs and Assumptions'!I42</f>
        <v>37500</v>
      </c>
      <c r="I16" s="27">
        <f>'Inputs and Assumptions'!J42</f>
        <v>37500</v>
      </c>
      <c r="J16" s="27">
        <f>'Inputs and Assumptions'!K42</f>
        <v>37500</v>
      </c>
      <c r="K16" s="27">
        <f>'Inputs and Assumptions'!L42</f>
        <v>37500</v>
      </c>
      <c r="L16" s="27">
        <f>'Inputs and Assumptions'!M42</f>
        <v>37500</v>
      </c>
      <c r="M16" s="27">
        <f>'Inputs and Assumptions'!N42</f>
        <v>37500</v>
      </c>
      <c r="N16" s="27">
        <f>'Inputs and Assumptions'!O42</f>
        <v>37500</v>
      </c>
      <c r="O16" s="27">
        <f>'Inputs and Assumptions'!P42</f>
        <v>37500</v>
      </c>
      <c r="P16" s="27">
        <f>'Inputs and Assumptions'!Q42</f>
        <v>37500</v>
      </c>
      <c r="Q16" s="27">
        <f>'Inputs and Assumptions'!R42</f>
        <v>37500</v>
      </c>
      <c r="R16" s="27">
        <f>'Inputs and Assumptions'!S42</f>
        <v>37500</v>
      </c>
      <c r="S16" s="27">
        <f>'Inputs and Assumptions'!T42</f>
        <v>37500</v>
      </c>
      <c r="T16" s="27">
        <f>'Inputs and Assumptions'!U42</f>
        <v>37500</v>
      </c>
      <c r="U16" s="27">
        <f>'Inputs and Assumptions'!V42</f>
        <v>37500</v>
      </c>
      <c r="V16" s="27">
        <f>'Inputs and Assumptions'!W42</f>
        <v>37500</v>
      </c>
      <c r="W16" s="27">
        <f>'Inputs and Assumptions'!X42</f>
        <v>37500</v>
      </c>
    </row>
    <row r="17" spans="1:24" ht="15" customHeight="1" x14ac:dyDescent="0.2">
      <c r="A17" s="48">
        <v>11</v>
      </c>
      <c r="B17" s="29" t="s">
        <v>0</v>
      </c>
      <c r="C17" s="13"/>
      <c r="D17" s="37">
        <f>'Inputs and Assumptions'!E134</f>
        <v>15000</v>
      </c>
      <c r="E17" s="37">
        <f>'Inputs and Assumptions'!F134</f>
        <v>15000</v>
      </c>
      <c r="F17" s="37">
        <f>'Inputs and Assumptions'!G134</f>
        <v>15000</v>
      </c>
      <c r="G17" s="37">
        <f>'Inputs and Assumptions'!H134</f>
        <v>15000</v>
      </c>
      <c r="H17" s="37">
        <f>'Inputs and Assumptions'!I134</f>
        <v>15000</v>
      </c>
      <c r="I17" s="37">
        <f>'Inputs and Assumptions'!J134</f>
        <v>15000</v>
      </c>
      <c r="J17" s="37">
        <f>'Inputs and Assumptions'!K134</f>
        <v>15000</v>
      </c>
      <c r="K17" s="37">
        <f>'Inputs and Assumptions'!L134</f>
        <v>15000</v>
      </c>
      <c r="L17" s="37">
        <f>'Inputs and Assumptions'!M134</f>
        <v>15000</v>
      </c>
      <c r="M17" s="37">
        <f>'Inputs and Assumptions'!N134</f>
        <v>15000</v>
      </c>
      <c r="N17" s="37">
        <f>'Inputs and Assumptions'!O134</f>
        <v>15000</v>
      </c>
      <c r="O17" s="37">
        <f>'Inputs and Assumptions'!P134</f>
        <v>15000</v>
      </c>
      <c r="P17" s="37">
        <f>'Inputs and Assumptions'!Q134</f>
        <v>15000</v>
      </c>
      <c r="Q17" s="37">
        <f>'Inputs and Assumptions'!R134</f>
        <v>15000</v>
      </c>
      <c r="R17" s="37">
        <f>'Inputs and Assumptions'!S134</f>
        <v>15000</v>
      </c>
      <c r="S17" s="37">
        <f>'Inputs and Assumptions'!T134</f>
        <v>15000</v>
      </c>
      <c r="T17" s="37">
        <f>'Inputs and Assumptions'!U134</f>
        <v>15000</v>
      </c>
      <c r="U17" s="37">
        <f>'Inputs and Assumptions'!V134</f>
        <v>15000</v>
      </c>
      <c r="V17" s="37">
        <f>'Inputs and Assumptions'!W134</f>
        <v>15000</v>
      </c>
      <c r="W17" s="37">
        <f>'Inputs and Assumptions'!X134</f>
        <v>15000</v>
      </c>
    </row>
    <row r="18" spans="1:24" ht="15" customHeight="1" x14ac:dyDescent="0.2">
      <c r="A18" s="48">
        <v>12</v>
      </c>
      <c r="B18" s="29" t="s">
        <v>18</v>
      </c>
      <c r="C18" s="13"/>
      <c r="D18" s="27">
        <f>D12*'Inputs and Assumptions'!$D$16</f>
        <v>56248.242663600002</v>
      </c>
      <c r="E18" s="27">
        <f>E12*'Inputs and Assumptions'!$D$16</f>
        <v>56248.242663600002</v>
      </c>
      <c r="F18" s="27">
        <f>F12*'Inputs and Assumptions'!$D$16</f>
        <v>76348.190663599991</v>
      </c>
      <c r="G18" s="27">
        <f>G12*'Inputs and Assumptions'!$D$16</f>
        <v>76348.190663599991</v>
      </c>
      <c r="H18" s="27">
        <f>H12*'Inputs and Assumptions'!$D$16</f>
        <v>76348.190663599991</v>
      </c>
      <c r="I18" s="27">
        <f>I12*'Inputs and Assumptions'!$D$16</f>
        <v>76348.190663599991</v>
      </c>
      <c r="J18" s="27">
        <f>J12*'Inputs and Assumptions'!$D$16</f>
        <v>76348.190663599991</v>
      </c>
      <c r="K18" s="27">
        <f>K12*'Inputs and Assumptions'!$D$16</f>
        <v>76348.190663599991</v>
      </c>
      <c r="L18" s="27">
        <f>L12*'Inputs and Assumptions'!$D$16</f>
        <v>76348.190663599991</v>
      </c>
      <c r="M18" s="27">
        <f>M12*'Inputs and Assumptions'!$D$16</f>
        <v>76348.190663599991</v>
      </c>
      <c r="N18" s="27">
        <f>N12*'Inputs and Assumptions'!$D$16</f>
        <v>76348.190663599991</v>
      </c>
      <c r="O18" s="27">
        <f>O12*'Inputs and Assumptions'!$D$16</f>
        <v>76348.190663599991</v>
      </c>
      <c r="P18" s="27">
        <f>P12*'Inputs and Assumptions'!$D$16</f>
        <v>76348.190663599991</v>
      </c>
      <c r="Q18" s="27">
        <f>Q12*'Inputs and Assumptions'!$D$16</f>
        <v>76348.190663599991</v>
      </c>
      <c r="R18" s="27">
        <f>R12*'Inputs and Assumptions'!$D$16</f>
        <v>76348.190663599991</v>
      </c>
      <c r="S18" s="27">
        <f>S12*'Inputs and Assumptions'!$D$16</f>
        <v>76348.190663599991</v>
      </c>
      <c r="T18" s="27">
        <f>T12*'Inputs and Assumptions'!$D$16</f>
        <v>76348.190663599991</v>
      </c>
      <c r="U18" s="27">
        <f>U12*'Inputs and Assumptions'!$D$16</f>
        <v>76348.190663599991</v>
      </c>
      <c r="V18" s="27">
        <f>V12*'Inputs and Assumptions'!$D$16</f>
        <v>76348.190663599991</v>
      </c>
      <c r="W18" s="27">
        <f>W12*'Inputs and Assumptions'!$D$16</f>
        <v>76348.190663599991</v>
      </c>
    </row>
    <row r="19" spans="1:24" ht="15" customHeight="1" x14ac:dyDescent="0.2">
      <c r="A19" s="48">
        <v>13</v>
      </c>
      <c r="B19" s="30" t="s">
        <v>83</v>
      </c>
      <c r="C19" s="11"/>
      <c r="D19" s="22">
        <f t="shared" ref="D19:W19" si="6">SUM(D16:D18)</f>
        <v>108748.2426636</v>
      </c>
      <c r="E19" s="22">
        <f t="shared" si="6"/>
        <v>108748.2426636</v>
      </c>
      <c r="F19" s="22">
        <f t="shared" si="6"/>
        <v>128848.19066359999</v>
      </c>
      <c r="G19" s="22">
        <f t="shared" si="6"/>
        <v>128848.19066359999</v>
      </c>
      <c r="H19" s="22">
        <f t="shared" si="6"/>
        <v>128848.19066359999</v>
      </c>
      <c r="I19" s="22">
        <f t="shared" si="6"/>
        <v>128848.19066359999</v>
      </c>
      <c r="J19" s="22">
        <f t="shared" si="6"/>
        <v>128848.19066359999</v>
      </c>
      <c r="K19" s="22">
        <f t="shared" si="6"/>
        <v>128848.19066359999</v>
      </c>
      <c r="L19" s="22">
        <f t="shared" si="6"/>
        <v>128848.19066359999</v>
      </c>
      <c r="M19" s="22">
        <f t="shared" si="6"/>
        <v>128848.19066359999</v>
      </c>
      <c r="N19" s="22">
        <f t="shared" si="6"/>
        <v>128848.19066359999</v>
      </c>
      <c r="O19" s="22">
        <f t="shared" si="6"/>
        <v>128848.19066359999</v>
      </c>
      <c r="P19" s="22">
        <f t="shared" si="6"/>
        <v>128848.19066359999</v>
      </c>
      <c r="Q19" s="22">
        <f t="shared" si="6"/>
        <v>128848.19066359999</v>
      </c>
      <c r="R19" s="22">
        <f t="shared" si="6"/>
        <v>128848.19066359999</v>
      </c>
      <c r="S19" s="22">
        <f t="shared" si="6"/>
        <v>128848.19066359999</v>
      </c>
      <c r="T19" s="22">
        <f t="shared" si="6"/>
        <v>128848.19066359999</v>
      </c>
      <c r="U19" s="22">
        <f t="shared" si="6"/>
        <v>128848.19066359999</v>
      </c>
      <c r="V19" s="22">
        <f t="shared" si="6"/>
        <v>128848.19066359999</v>
      </c>
      <c r="W19" s="22">
        <f t="shared" si="6"/>
        <v>128848.19066359999</v>
      </c>
    </row>
    <row r="20" spans="1:24" s="2" customFormat="1" ht="15" customHeight="1" x14ac:dyDescent="0.2">
      <c r="A20" s="48">
        <v>14</v>
      </c>
      <c r="B20" s="30" t="s">
        <v>84</v>
      </c>
      <c r="C20" s="11"/>
      <c r="D20" s="22">
        <f t="shared" ref="D20:W20" si="7">D15-D19</f>
        <v>88138.090136400031</v>
      </c>
      <c r="E20" s="22">
        <f t="shared" si="7"/>
        <v>88138.090136400031</v>
      </c>
      <c r="F20" s="22">
        <f t="shared" si="7"/>
        <v>119650.14213640004</v>
      </c>
      <c r="G20" s="22">
        <f t="shared" si="7"/>
        <v>119650.14213640004</v>
      </c>
      <c r="H20" s="22">
        <f t="shared" si="7"/>
        <v>119650.14213640004</v>
      </c>
      <c r="I20" s="22">
        <f t="shared" si="7"/>
        <v>119650.14213640004</v>
      </c>
      <c r="J20" s="22">
        <f t="shared" si="7"/>
        <v>119650.14213640004</v>
      </c>
      <c r="K20" s="22">
        <f t="shared" si="7"/>
        <v>119650.14213640004</v>
      </c>
      <c r="L20" s="22">
        <f t="shared" si="7"/>
        <v>119650.14213640004</v>
      </c>
      <c r="M20" s="22">
        <f t="shared" si="7"/>
        <v>119650.14213640004</v>
      </c>
      <c r="N20" s="22">
        <f t="shared" si="7"/>
        <v>119650.14213640004</v>
      </c>
      <c r="O20" s="22">
        <f t="shared" si="7"/>
        <v>119650.14213640004</v>
      </c>
      <c r="P20" s="22">
        <f t="shared" si="7"/>
        <v>119650.14213640004</v>
      </c>
      <c r="Q20" s="22">
        <f t="shared" si="7"/>
        <v>119650.14213640004</v>
      </c>
      <c r="R20" s="22">
        <f t="shared" si="7"/>
        <v>119650.14213640004</v>
      </c>
      <c r="S20" s="22">
        <f t="shared" si="7"/>
        <v>119650.14213640004</v>
      </c>
      <c r="T20" s="22">
        <f t="shared" si="7"/>
        <v>119650.14213640004</v>
      </c>
      <c r="U20" s="22">
        <f t="shared" si="7"/>
        <v>119650.14213640004</v>
      </c>
      <c r="V20" s="22">
        <f t="shared" si="7"/>
        <v>119650.14213640004</v>
      </c>
      <c r="W20" s="22">
        <f t="shared" si="7"/>
        <v>119650.14213640004</v>
      </c>
    </row>
    <row r="21" spans="1:24" s="2" customFormat="1" ht="15" customHeight="1" x14ac:dyDescent="0.2">
      <c r="A21" s="48">
        <v>15</v>
      </c>
      <c r="B21" s="46" t="s">
        <v>95</v>
      </c>
      <c r="C21" s="11"/>
      <c r="D21" s="39">
        <f>(D10*(1-'Inputs and Assumptions'!$D$7)*'Inputs and Assumptions'!$D$10)</f>
        <v>31039.03125</v>
      </c>
      <c r="E21" s="39">
        <f>(E10*(1-'Inputs and Assumptions'!$D$7)*'Inputs and Assumptions'!$D$10)</f>
        <v>27769.257674999997</v>
      </c>
      <c r="F21" s="39">
        <f>(F10*(1-'Inputs and Assumptions'!$D$7)*'Inputs and Assumptions'!$D$10)</f>
        <v>26673.964874999994</v>
      </c>
      <c r="G21" s="39">
        <f>(G10*(1-'Inputs and Assumptions'!$D$7)*'Inputs and Assumptions'!$D$10)</f>
        <v>25621.576424999999</v>
      </c>
      <c r="H21" s="39">
        <f>(H10*(1-'Inputs and Assumptions'!$D$7)*'Inputs and Assumptions'!$D$10)</f>
        <v>24608.880674999993</v>
      </c>
      <c r="I21" s="39">
        <f>(I10*(1-'Inputs and Assumptions'!$D$7)*'Inputs and Assumptions'!$D$10)</f>
        <v>23632.913024999998</v>
      </c>
      <c r="J21" s="39">
        <f>(J10*(1-'Inputs and Assumptions'!$D$7)*'Inputs and Assumptions'!$D$10)</f>
        <v>22690.914749999996</v>
      </c>
      <c r="K21" s="39">
        <f>(K10*(1-'Inputs and Assumptions'!$D$7)*'Inputs and Assumptions'!$D$10)</f>
        <v>21780.332999999999</v>
      </c>
      <c r="L21" s="39">
        <f>(L10*(1-'Inputs and Assumptions'!$D$7)*'Inputs and Assumptions'!$D$10)</f>
        <v>20887.291799999995</v>
      </c>
      <c r="M21" s="39">
        <f>(M10*(1-'Inputs and Assumptions'!$D$7)*'Inputs and Assumptions'!$D$10)</f>
        <v>19996.762274999997</v>
      </c>
      <c r="N21" s="39">
        <f>(N10*(1-'Inputs and Assumptions'!$D$7)*'Inputs and Assumptions'!$D$10)</f>
        <v>19106.232749999996</v>
      </c>
      <c r="O21" s="39">
        <f>(O10*(1-'Inputs and Assumptions'!$D$7)*'Inputs and Assumptions'!$D$10)</f>
        <v>18215.703224999997</v>
      </c>
      <c r="P21" s="39">
        <f>(P10*(1-'Inputs and Assumptions'!$D$7)*'Inputs and Assumptions'!$D$10)</f>
        <v>17325.173699999999</v>
      </c>
      <c r="Q21" s="39">
        <f>(Q10*(1-'Inputs and Assumptions'!$D$7)*'Inputs and Assumptions'!$D$10)</f>
        <v>16434.644175000001</v>
      </c>
      <c r="R21" s="39">
        <f>(R10*(1-'Inputs and Assumptions'!$D$7)*'Inputs and Assumptions'!$D$10)</f>
        <v>15544.11465</v>
      </c>
      <c r="S21" s="39">
        <f>(S10*(1-'Inputs and Assumptions'!$D$7)*'Inputs and Assumptions'!$D$10)</f>
        <v>14653.585124999998</v>
      </c>
      <c r="T21" s="39">
        <f>(T10*(1-'Inputs and Assumptions'!$D$7)*'Inputs and Assumptions'!$D$10)</f>
        <v>13763.055599999996</v>
      </c>
      <c r="U21" s="39">
        <f>(U10*(1-'Inputs and Assumptions'!$D$7)*'Inputs and Assumptions'!$D$10)</f>
        <v>12872.526074999998</v>
      </c>
      <c r="V21" s="39">
        <f>(V10*(1-'Inputs and Assumptions'!$D$7)*'Inputs and Assumptions'!$D$10)</f>
        <v>11981.996549999998</v>
      </c>
      <c r="W21" s="39">
        <f>(W10*(1-'Inputs and Assumptions'!$D$7)*'Inputs and Assumptions'!$D$10)</f>
        <v>11091.467024999998</v>
      </c>
    </row>
    <row r="22" spans="1:24" s="2" customFormat="1" ht="15" customHeight="1" x14ac:dyDescent="0.2">
      <c r="A22" s="48">
        <v>16</v>
      </c>
      <c r="B22" s="30" t="s">
        <v>96</v>
      </c>
      <c r="C22" s="11"/>
      <c r="D22" s="22">
        <f t="shared" ref="D22:W22" si="8">D20-D21</f>
        <v>57099.058886400031</v>
      </c>
      <c r="E22" s="22">
        <f t="shared" si="8"/>
        <v>60368.83246140003</v>
      </c>
      <c r="F22" s="22">
        <f t="shared" si="8"/>
        <v>92976.177261400051</v>
      </c>
      <c r="G22" s="22">
        <f t="shared" si="8"/>
        <v>94028.565711400035</v>
      </c>
      <c r="H22" s="22">
        <f t="shared" si="8"/>
        <v>95041.261461400049</v>
      </c>
      <c r="I22" s="22">
        <f t="shared" si="8"/>
        <v>96017.22911140004</v>
      </c>
      <c r="J22" s="22">
        <f t="shared" si="8"/>
        <v>96959.227386400045</v>
      </c>
      <c r="K22" s="22">
        <f t="shared" si="8"/>
        <v>97869.809136400043</v>
      </c>
      <c r="L22" s="22">
        <f t="shared" si="8"/>
        <v>98762.85033640005</v>
      </c>
      <c r="M22" s="22">
        <f t="shared" si="8"/>
        <v>99653.379861400041</v>
      </c>
      <c r="N22" s="22">
        <f t="shared" si="8"/>
        <v>100543.90938640005</v>
      </c>
      <c r="O22" s="22">
        <f t="shared" si="8"/>
        <v>101434.43891140004</v>
      </c>
      <c r="P22" s="22">
        <f t="shared" si="8"/>
        <v>102324.96843640004</v>
      </c>
      <c r="Q22" s="22">
        <f t="shared" si="8"/>
        <v>103215.49796140005</v>
      </c>
      <c r="R22" s="22">
        <f t="shared" si="8"/>
        <v>104106.02748640004</v>
      </c>
      <c r="S22" s="22">
        <f t="shared" si="8"/>
        <v>104996.55701140004</v>
      </c>
      <c r="T22" s="22">
        <f t="shared" si="8"/>
        <v>105887.08653640005</v>
      </c>
      <c r="U22" s="22">
        <f t="shared" si="8"/>
        <v>106777.61606140004</v>
      </c>
      <c r="V22" s="22">
        <f t="shared" si="8"/>
        <v>107668.14558640005</v>
      </c>
      <c r="W22" s="22">
        <f t="shared" si="8"/>
        <v>108558.67511140005</v>
      </c>
    </row>
    <row r="23" spans="1:24" ht="15" customHeight="1" x14ac:dyDescent="0.2">
      <c r="A23" s="48">
        <v>17</v>
      </c>
      <c r="B23" s="29" t="s">
        <v>1</v>
      </c>
      <c r="C23" s="10"/>
      <c r="D23" s="20">
        <f>D22*'Inputs and Assumptions'!$D14</f>
        <v>21697.642376832013</v>
      </c>
      <c r="E23" s="20">
        <f>E22*'Inputs and Assumptions'!$D14</f>
        <v>22940.156335332013</v>
      </c>
      <c r="F23" s="20">
        <f>F22*'Inputs and Assumptions'!$D14</f>
        <v>35330.947359332022</v>
      </c>
      <c r="G23" s="20">
        <f>G22*'Inputs and Assumptions'!$D14</f>
        <v>35730.854970332017</v>
      </c>
      <c r="H23" s="20">
        <f>H22*'Inputs and Assumptions'!$D14</f>
        <v>36115.679355332017</v>
      </c>
      <c r="I23" s="20">
        <f>I22*'Inputs and Assumptions'!$D14</f>
        <v>36486.547062332014</v>
      </c>
      <c r="J23" s="20">
        <f>J22*'Inputs and Assumptions'!$D14</f>
        <v>36844.506406832021</v>
      </c>
      <c r="K23" s="20">
        <f>K22*'Inputs and Assumptions'!$D14</f>
        <v>37190.527471832014</v>
      </c>
      <c r="L23" s="20">
        <f>L22*'Inputs and Assumptions'!$D14</f>
        <v>37529.883127832021</v>
      </c>
      <c r="M23" s="20">
        <f>M22*'Inputs and Assumptions'!$D14</f>
        <v>37868.284347332017</v>
      </c>
      <c r="N23" s="20">
        <f>N22*'Inputs and Assumptions'!$D14</f>
        <v>38206.68556683202</v>
      </c>
      <c r="O23" s="20">
        <f>O22*'Inputs and Assumptions'!$D14</f>
        <v>38545.086786332016</v>
      </c>
      <c r="P23" s="20">
        <f>P22*'Inputs and Assumptions'!$D14</f>
        <v>38883.48800583202</v>
      </c>
      <c r="Q23" s="20">
        <f>Q22*'Inputs and Assumptions'!$D14</f>
        <v>39221.889225332015</v>
      </c>
      <c r="R23" s="20">
        <f>R22*'Inputs and Assumptions'!$D14</f>
        <v>39560.290444832019</v>
      </c>
      <c r="S23" s="20">
        <f>S22*'Inputs and Assumptions'!$D14</f>
        <v>39898.691664332015</v>
      </c>
      <c r="T23" s="20">
        <f>T22*'Inputs and Assumptions'!$D14</f>
        <v>40237.092883832018</v>
      </c>
      <c r="U23" s="20">
        <f>U22*'Inputs and Assumptions'!$D14</f>
        <v>40575.494103332014</v>
      </c>
      <c r="V23" s="20">
        <f>V22*'Inputs and Assumptions'!$D14</f>
        <v>40913.895322832017</v>
      </c>
      <c r="W23" s="20">
        <f>W22*'Inputs and Assumptions'!$D14</f>
        <v>41252.29654233202</v>
      </c>
    </row>
    <row r="24" spans="1:24" ht="15" customHeight="1" x14ac:dyDescent="0.2">
      <c r="A24" s="48">
        <v>18</v>
      </c>
      <c r="B24" s="30" t="s">
        <v>97</v>
      </c>
      <c r="C24" s="11"/>
      <c r="D24" s="22">
        <f t="shared" ref="D24:W24" si="9">D22-D23</f>
        <v>35401.416509568022</v>
      </c>
      <c r="E24" s="22">
        <f t="shared" si="9"/>
        <v>37428.676126068021</v>
      </c>
      <c r="F24" s="22">
        <f t="shared" si="9"/>
        <v>57645.229902068029</v>
      </c>
      <c r="G24" s="22">
        <f t="shared" si="9"/>
        <v>58297.710741068018</v>
      </c>
      <c r="H24" s="22">
        <f t="shared" si="9"/>
        <v>58925.582106068032</v>
      </c>
      <c r="I24" s="22">
        <f t="shared" si="9"/>
        <v>59530.682049068026</v>
      </c>
      <c r="J24" s="22">
        <f t="shared" si="9"/>
        <v>60114.720979568025</v>
      </c>
      <c r="K24" s="22">
        <f t="shared" si="9"/>
        <v>60679.281664568029</v>
      </c>
      <c r="L24" s="22">
        <f t="shared" si="9"/>
        <v>61232.967208568029</v>
      </c>
      <c r="M24" s="22">
        <f t="shared" si="9"/>
        <v>61785.095514068023</v>
      </c>
      <c r="N24" s="22">
        <f t="shared" si="9"/>
        <v>62337.223819568026</v>
      </c>
      <c r="O24" s="22">
        <f t="shared" si="9"/>
        <v>62889.352125068021</v>
      </c>
      <c r="P24" s="22">
        <f t="shared" si="9"/>
        <v>63441.480430568023</v>
      </c>
      <c r="Q24" s="22">
        <f t="shared" si="9"/>
        <v>63993.608736068032</v>
      </c>
      <c r="R24" s="22">
        <f t="shared" si="9"/>
        <v>64545.73704156802</v>
      </c>
      <c r="S24" s="22">
        <f t="shared" si="9"/>
        <v>65097.865347068029</v>
      </c>
      <c r="T24" s="22">
        <f t="shared" si="9"/>
        <v>65649.993652568024</v>
      </c>
      <c r="U24" s="22">
        <f t="shared" si="9"/>
        <v>66202.121958068019</v>
      </c>
      <c r="V24" s="22">
        <f t="shared" si="9"/>
        <v>66754.250263568028</v>
      </c>
      <c r="W24" s="22">
        <f t="shared" si="9"/>
        <v>67306.378569068038</v>
      </c>
    </row>
    <row r="25" spans="1:24" ht="15" hidden="1" customHeight="1" x14ac:dyDescent="0.2">
      <c r="B25" s="29" t="s">
        <v>81</v>
      </c>
      <c r="C25" s="11"/>
      <c r="D25" s="39">
        <f>'Inputs and Assumptions'!D22*'Inputs and Assumptions'!D23*(1-'Inputs and Assumptions'!D14)</f>
        <v>0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1:24" ht="15" hidden="1" customHeight="1" thickBot="1" x14ac:dyDescent="0.25">
      <c r="B26" s="30" t="s">
        <v>61</v>
      </c>
      <c r="C26" s="11"/>
      <c r="D26" s="23">
        <f t="shared" ref="D26:W26" si="10">D25+D24</f>
        <v>35401.416509568022</v>
      </c>
      <c r="E26" s="23">
        <f t="shared" si="10"/>
        <v>37428.676126068021</v>
      </c>
      <c r="F26" s="23">
        <f t="shared" si="10"/>
        <v>57645.229902068029</v>
      </c>
      <c r="G26" s="23">
        <f t="shared" si="10"/>
        <v>58297.710741068018</v>
      </c>
      <c r="H26" s="23">
        <f t="shared" si="10"/>
        <v>58925.582106068032</v>
      </c>
      <c r="I26" s="23">
        <f t="shared" si="10"/>
        <v>59530.682049068026</v>
      </c>
      <c r="J26" s="23">
        <f t="shared" si="10"/>
        <v>60114.720979568025</v>
      </c>
      <c r="K26" s="23">
        <f t="shared" si="10"/>
        <v>60679.281664568029</v>
      </c>
      <c r="L26" s="23">
        <f t="shared" si="10"/>
        <v>61232.967208568029</v>
      </c>
      <c r="M26" s="23">
        <f t="shared" si="10"/>
        <v>61785.095514068023</v>
      </c>
      <c r="N26" s="23">
        <f t="shared" si="10"/>
        <v>62337.223819568026</v>
      </c>
      <c r="O26" s="23">
        <f t="shared" si="10"/>
        <v>62889.352125068021</v>
      </c>
      <c r="P26" s="23">
        <f t="shared" si="10"/>
        <v>63441.480430568023</v>
      </c>
      <c r="Q26" s="23">
        <f t="shared" si="10"/>
        <v>63993.608736068032</v>
      </c>
      <c r="R26" s="23">
        <f t="shared" si="10"/>
        <v>64545.73704156802</v>
      </c>
      <c r="S26" s="23">
        <f t="shared" si="10"/>
        <v>65097.865347068029</v>
      </c>
      <c r="T26" s="23">
        <f t="shared" si="10"/>
        <v>65649.993652568024</v>
      </c>
      <c r="U26" s="23">
        <f t="shared" si="10"/>
        <v>66202.121958068019</v>
      </c>
      <c r="V26" s="23">
        <f t="shared" si="10"/>
        <v>66754.250263568028</v>
      </c>
      <c r="W26" s="23">
        <f t="shared" si="10"/>
        <v>67306.378569068038</v>
      </c>
    </row>
    <row r="27" spans="1:24" ht="15" customHeight="1" x14ac:dyDescent="0.2">
      <c r="B27" s="19"/>
      <c r="C27" s="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4" ht="15" customHeight="1" x14ac:dyDescent="0.2">
      <c r="A28" s="48">
        <v>19</v>
      </c>
      <c r="B28" s="29" t="s">
        <v>90</v>
      </c>
      <c r="C28" s="14"/>
      <c r="D28" s="28">
        <f t="shared" ref="D28:W28" si="11">D24/D10</f>
        <v>2.5662265843599114E-2</v>
      </c>
      <c r="E28" s="28">
        <f t="shared" si="11"/>
        <v>3.0326529527459921E-2</v>
      </c>
      <c r="F28" s="28">
        <f t="shared" si="11"/>
        <v>4.8624854942811754E-2</v>
      </c>
      <c r="G28" s="28">
        <f t="shared" si="11"/>
        <v>5.1195073633102203E-2</v>
      </c>
      <c r="H28" s="28">
        <f t="shared" si="11"/>
        <v>5.3875900123057138E-2</v>
      </c>
      <c r="I28" s="28">
        <f t="shared" si="11"/>
        <v>5.6676904141571886E-2</v>
      </c>
      <c r="J28" s="28">
        <f t="shared" si="11"/>
        <v>5.9608933220300461E-2</v>
      </c>
      <c r="K28" s="28">
        <f t="shared" si="11"/>
        <v>6.2684249935608463E-2</v>
      </c>
      <c r="L28" s="28">
        <f t="shared" si="11"/>
        <v>6.5960765779735073E-2</v>
      </c>
      <c r="M28" s="28">
        <f t="shared" si="11"/>
        <v>6.9519486702330699E-2</v>
      </c>
      <c r="N28" s="28">
        <f t="shared" si="11"/>
        <v>7.3409947125253186E-2</v>
      </c>
      <c r="O28" s="28">
        <f t="shared" si="11"/>
        <v>7.7680801302911578E-2</v>
      </c>
      <c r="P28" s="28">
        <f t="shared" si="11"/>
        <v>8.2390706979623557E-2</v>
      </c>
      <c r="Q28" s="28">
        <f t="shared" si="11"/>
        <v>8.7611035640905846E-2</v>
      </c>
      <c r="R28" s="28">
        <f t="shared" si="11"/>
        <v>9.3429514394071989E-2</v>
      </c>
      <c r="S28" s="28">
        <f t="shared" si="11"/>
        <v>9.9955195797794966E-2</v>
      </c>
      <c r="T28" s="28">
        <f t="shared" si="11"/>
        <v>0.10732535710912777</v>
      </c>
      <c r="U28" s="28">
        <f t="shared" si="11"/>
        <v>0.11571526329625482</v>
      </c>
      <c r="V28" s="28">
        <f t="shared" si="11"/>
        <v>0.12535228370853443</v>
      </c>
      <c r="W28" s="28">
        <f t="shared" si="11"/>
        <v>0.13653680927785394</v>
      </c>
    </row>
    <row r="29" spans="1:24" ht="15" customHeight="1" x14ac:dyDescent="0.2">
      <c r="A29" s="48">
        <v>20</v>
      </c>
      <c r="B29" s="19" t="s">
        <v>98</v>
      </c>
      <c r="C29" s="16"/>
      <c r="D29" s="47">
        <f>D24/(D10*'Inputs and Assumptions'!$D$7)</f>
        <v>5.1324531687198229E-2</v>
      </c>
      <c r="E29" s="47">
        <f>E24/(E10*'Inputs and Assumptions'!$D$7)</f>
        <v>6.0653059054919842E-2</v>
      </c>
      <c r="F29" s="47">
        <f>F24/(F10*'Inputs and Assumptions'!$D$7)</f>
        <v>9.7249709885623509E-2</v>
      </c>
      <c r="G29" s="47">
        <f>G24/(G10*'Inputs and Assumptions'!$D$7)</f>
        <v>0.10239014726620441</v>
      </c>
      <c r="H29" s="47">
        <f>H24/(H10*'Inputs and Assumptions'!$D$7)</f>
        <v>0.10775180024611428</v>
      </c>
      <c r="I29" s="47">
        <f>I24/(I10*'Inputs and Assumptions'!$D$7)</f>
        <v>0.11335380828314377</v>
      </c>
      <c r="J29" s="47">
        <f>J24/(J10*'Inputs and Assumptions'!$D$7)</f>
        <v>0.11921786644060092</v>
      </c>
      <c r="K29" s="47">
        <f>K24/(K10*'Inputs and Assumptions'!$D$7)</f>
        <v>0.12536849987121693</v>
      </c>
      <c r="L29" s="47">
        <f>L24/(L10*'Inputs and Assumptions'!$D$7)</f>
        <v>0.13192153155947015</v>
      </c>
      <c r="M29" s="47">
        <f>M24/(M10*'Inputs and Assumptions'!$D$7)</f>
        <v>0.1390389734046614</v>
      </c>
      <c r="N29" s="47">
        <f>N24/(N10*'Inputs and Assumptions'!$D$7)</f>
        <v>0.14681989425050637</v>
      </c>
      <c r="O29" s="47">
        <f>O24/(O10*'Inputs and Assumptions'!$D$7)</f>
        <v>0.15536160260582316</v>
      </c>
      <c r="P29" s="47">
        <f>P24/(P10*'Inputs and Assumptions'!$D$7)</f>
        <v>0.16478141395924711</v>
      </c>
      <c r="Q29" s="47">
        <f>Q24/(Q10*'Inputs and Assumptions'!$D$7)</f>
        <v>0.17522207128181169</v>
      </c>
      <c r="R29" s="47">
        <f>R24/(R10*'Inputs and Assumptions'!$D$7)</f>
        <v>0.18685902878814398</v>
      </c>
      <c r="S29" s="47">
        <f>S24/(S10*'Inputs and Assumptions'!$D$7)</f>
        <v>0.19991039159558993</v>
      </c>
      <c r="T29" s="47">
        <f>T24/(T10*'Inputs and Assumptions'!$D$7)</f>
        <v>0.21465071421825554</v>
      </c>
      <c r="U29" s="47">
        <f>U24/(U10*'Inputs and Assumptions'!$D$7)</f>
        <v>0.23143052659250965</v>
      </c>
      <c r="V29" s="47">
        <f>V24/(V10*'Inputs and Assumptions'!$D$7)</f>
        <v>0.25070456741706887</v>
      </c>
      <c r="W29" s="47">
        <f>W24/(W10*'Inputs and Assumptions'!$D$7)</f>
        <v>0.27307361855570789</v>
      </c>
      <c r="X29" s="4"/>
    </row>
    <row r="30" spans="1:24" ht="15" customHeight="1" x14ac:dyDescent="0.2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4"/>
    </row>
    <row r="31" spans="1:24" ht="15" customHeight="1" x14ac:dyDescent="0.2">
      <c r="A31" s="48">
        <v>21</v>
      </c>
      <c r="B31" s="31" t="s">
        <v>61</v>
      </c>
      <c r="C31" s="16"/>
      <c r="D31" s="41">
        <f t="shared" ref="D31:W31" si="12">D24</f>
        <v>35401.416509568022</v>
      </c>
      <c r="E31" s="41">
        <f t="shared" si="12"/>
        <v>37428.676126068021</v>
      </c>
      <c r="F31" s="33">
        <f t="shared" si="12"/>
        <v>57645.229902068029</v>
      </c>
      <c r="G31" s="33">
        <f t="shared" si="12"/>
        <v>58297.710741068018</v>
      </c>
      <c r="H31" s="33">
        <f t="shared" si="12"/>
        <v>58925.582106068032</v>
      </c>
      <c r="I31" s="33">
        <f t="shared" si="12"/>
        <v>59530.682049068026</v>
      </c>
      <c r="J31" s="33">
        <f t="shared" si="12"/>
        <v>60114.720979568025</v>
      </c>
      <c r="K31" s="33">
        <f t="shared" si="12"/>
        <v>60679.281664568029</v>
      </c>
      <c r="L31" s="33">
        <f t="shared" si="12"/>
        <v>61232.967208568029</v>
      </c>
      <c r="M31" s="33">
        <f t="shared" si="12"/>
        <v>61785.095514068023</v>
      </c>
      <c r="N31" s="33">
        <f t="shared" si="12"/>
        <v>62337.223819568026</v>
      </c>
      <c r="O31" s="33">
        <f t="shared" si="12"/>
        <v>62889.352125068021</v>
      </c>
      <c r="P31" s="33">
        <f t="shared" si="12"/>
        <v>63441.480430568023</v>
      </c>
      <c r="Q31" s="33">
        <f t="shared" si="12"/>
        <v>63993.608736068032</v>
      </c>
      <c r="R31" s="33">
        <f t="shared" si="12"/>
        <v>64545.73704156802</v>
      </c>
      <c r="S31" s="33">
        <f t="shared" si="12"/>
        <v>65097.865347068029</v>
      </c>
      <c r="T31" s="33">
        <f t="shared" si="12"/>
        <v>65649.993652568024</v>
      </c>
      <c r="U31" s="33">
        <f t="shared" si="12"/>
        <v>66202.121958068019</v>
      </c>
      <c r="V31" s="33">
        <f t="shared" si="12"/>
        <v>66754.250263568028</v>
      </c>
      <c r="W31" s="33">
        <f t="shared" si="12"/>
        <v>67306.378569068038</v>
      </c>
    </row>
    <row r="32" spans="1:24" ht="15" customHeight="1" x14ac:dyDescent="0.2">
      <c r="A32" s="48">
        <v>22</v>
      </c>
      <c r="B32" s="31" t="s">
        <v>62</v>
      </c>
      <c r="C32" s="16"/>
      <c r="D32" s="41">
        <f t="shared" ref="D32:W32" si="13">D16</f>
        <v>37500</v>
      </c>
      <c r="E32" s="41">
        <f t="shared" si="13"/>
        <v>37500</v>
      </c>
      <c r="F32" s="33">
        <f t="shared" si="13"/>
        <v>37500</v>
      </c>
      <c r="G32" s="33">
        <f t="shared" si="13"/>
        <v>37500</v>
      </c>
      <c r="H32" s="33">
        <f t="shared" si="13"/>
        <v>37500</v>
      </c>
      <c r="I32" s="33">
        <f t="shared" si="13"/>
        <v>37500</v>
      </c>
      <c r="J32" s="33">
        <f t="shared" si="13"/>
        <v>37500</v>
      </c>
      <c r="K32" s="33">
        <f t="shared" si="13"/>
        <v>37500</v>
      </c>
      <c r="L32" s="33">
        <f t="shared" si="13"/>
        <v>37500</v>
      </c>
      <c r="M32" s="33">
        <f t="shared" si="13"/>
        <v>37500</v>
      </c>
      <c r="N32" s="33">
        <f t="shared" si="13"/>
        <v>37500</v>
      </c>
      <c r="O32" s="33">
        <f t="shared" si="13"/>
        <v>37500</v>
      </c>
      <c r="P32" s="33">
        <f t="shared" si="13"/>
        <v>37500</v>
      </c>
      <c r="Q32" s="33">
        <f t="shared" si="13"/>
        <v>37500</v>
      </c>
      <c r="R32" s="33">
        <f t="shared" si="13"/>
        <v>37500</v>
      </c>
      <c r="S32" s="33">
        <f t="shared" si="13"/>
        <v>37500</v>
      </c>
      <c r="T32" s="33">
        <f t="shared" si="13"/>
        <v>37500</v>
      </c>
      <c r="U32" s="33">
        <f t="shared" si="13"/>
        <v>37500</v>
      </c>
      <c r="V32" s="33">
        <f t="shared" si="13"/>
        <v>37500</v>
      </c>
      <c r="W32" s="33">
        <f t="shared" si="13"/>
        <v>37500</v>
      </c>
    </row>
    <row r="33" spans="1:23" ht="15" customHeight="1" x14ac:dyDescent="0.2">
      <c r="A33" s="48">
        <v>23</v>
      </c>
      <c r="B33" s="31" t="s">
        <v>77</v>
      </c>
      <c r="C33" s="16"/>
      <c r="D33" s="41">
        <f>-D8</f>
        <v>203475.00000000006</v>
      </c>
      <c r="E33" s="41">
        <f t="shared" ref="E33:W33" si="14">-E8+D8</f>
        <v>12171.540000000008</v>
      </c>
      <c r="F33" s="33">
        <f t="shared" si="14"/>
        <v>10187.820000000007</v>
      </c>
      <c r="G33" s="33">
        <f t="shared" si="14"/>
        <v>8357.820000000007</v>
      </c>
      <c r="H33" s="33">
        <f t="shared" si="14"/>
        <v>6659.5799999999872</v>
      </c>
      <c r="I33" s="33">
        <f t="shared" si="14"/>
        <v>5093.1000000000058</v>
      </c>
      <c r="J33" s="33">
        <f t="shared" si="14"/>
        <v>3640.0799999999872</v>
      </c>
      <c r="K33" s="33">
        <f t="shared" si="14"/>
        <v>2300.5199999999895</v>
      </c>
      <c r="L33" s="33">
        <f t="shared" si="14"/>
        <v>2080.9200000000128</v>
      </c>
      <c r="M33" s="33">
        <f t="shared" si="14"/>
        <v>2077.2600000000093</v>
      </c>
      <c r="N33" s="33">
        <f t="shared" si="14"/>
        <v>2080.9199999999837</v>
      </c>
      <c r="O33" s="33">
        <f t="shared" si="14"/>
        <v>2077.2600000000093</v>
      </c>
      <c r="P33" s="33">
        <f t="shared" si="14"/>
        <v>2080.9199999999837</v>
      </c>
      <c r="Q33" s="33">
        <f t="shared" si="14"/>
        <v>2077.2600000000093</v>
      </c>
      <c r="R33" s="33">
        <f t="shared" si="14"/>
        <v>2080.9199999999837</v>
      </c>
      <c r="S33" s="33">
        <f t="shared" si="14"/>
        <v>2077.2600000000093</v>
      </c>
      <c r="T33" s="33">
        <f t="shared" si="14"/>
        <v>2080.9199999999837</v>
      </c>
      <c r="U33" s="33">
        <f t="shared" si="14"/>
        <v>2077.2600000000093</v>
      </c>
      <c r="V33" s="33">
        <f t="shared" si="14"/>
        <v>2080.9199999999837</v>
      </c>
      <c r="W33" s="33">
        <f t="shared" si="14"/>
        <v>2077.2600000000093</v>
      </c>
    </row>
    <row r="34" spans="1:23" ht="15" customHeight="1" x14ac:dyDescent="0.2">
      <c r="A34" s="48">
        <v>24</v>
      </c>
      <c r="B34" s="31" t="s">
        <v>63</v>
      </c>
      <c r="C34" s="16"/>
      <c r="D34" s="41">
        <f>-'Inputs and Assumptions'!D20</f>
        <v>-1500000</v>
      </c>
      <c r="E34" s="41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5" customHeight="1" x14ac:dyDescent="0.2">
      <c r="A35" s="48">
        <v>25</v>
      </c>
      <c r="B35" s="31" t="s">
        <v>68</v>
      </c>
      <c r="C35" s="16"/>
      <c r="D35" s="41">
        <f>'Inputs and Assumptions'!D22</f>
        <v>0</v>
      </c>
      <c r="E35" s="41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15" customHeight="1" x14ac:dyDescent="0.2">
      <c r="A36" s="48">
        <v>26</v>
      </c>
      <c r="B36" s="119" t="s">
        <v>145</v>
      </c>
      <c r="C36" s="16"/>
      <c r="D36" s="41"/>
      <c r="E36" s="41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>
        <f>W9</f>
        <v>473165.45999999996</v>
      </c>
    </row>
    <row r="37" spans="1:23" ht="5.0999999999999996" customHeight="1" x14ac:dyDescent="0.2">
      <c r="B37" s="31"/>
      <c r="C37" s="16"/>
      <c r="D37" s="41"/>
      <c r="E37" s="41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3" ht="15" customHeight="1" thickBot="1" x14ac:dyDescent="0.25">
      <c r="A38" s="48">
        <v>27</v>
      </c>
      <c r="B38" s="40" t="s">
        <v>64</v>
      </c>
      <c r="C38" s="32"/>
      <c r="D38" s="34">
        <f>SUM(D31:D36)</f>
        <v>-1223623.5834904318</v>
      </c>
      <c r="E38" s="120">
        <f t="shared" ref="E38:W38" si="15">SUM(E31:E36)</f>
        <v>87100.21612606803</v>
      </c>
      <c r="F38" s="120">
        <f t="shared" si="15"/>
        <v>105333.04990206804</v>
      </c>
      <c r="G38" s="120">
        <f t="shared" si="15"/>
        <v>104155.53074106803</v>
      </c>
      <c r="H38" s="120">
        <f t="shared" si="15"/>
        <v>103085.16210606802</v>
      </c>
      <c r="I38" s="120">
        <f t="shared" si="15"/>
        <v>102123.78204906803</v>
      </c>
      <c r="J38" s="120">
        <f t="shared" si="15"/>
        <v>101254.80097956801</v>
      </c>
      <c r="K38" s="120">
        <f t="shared" si="15"/>
        <v>100479.80166456802</v>
      </c>
      <c r="L38" s="120">
        <f t="shared" si="15"/>
        <v>100813.88720856805</v>
      </c>
      <c r="M38" s="120">
        <f t="shared" si="15"/>
        <v>101362.35551406804</v>
      </c>
      <c r="N38" s="120">
        <f t="shared" si="15"/>
        <v>101918.14381956801</v>
      </c>
      <c r="O38" s="120">
        <f t="shared" si="15"/>
        <v>102466.61212506803</v>
      </c>
      <c r="P38" s="120">
        <f t="shared" si="15"/>
        <v>103022.400430568</v>
      </c>
      <c r="Q38" s="120">
        <f t="shared" si="15"/>
        <v>103570.86873606805</v>
      </c>
      <c r="R38" s="120">
        <f t="shared" si="15"/>
        <v>104126.657041568</v>
      </c>
      <c r="S38" s="120">
        <f t="shared" si="15"/>
        <v>104675.12534706804</v>
      </c>
      <c r="T38" s="120">
        <f t="shared" si="15"/>
        <v>105230.91365256801</v>
      </c>
      <c r="U38" s="120">
        <f t="shared" si="15"/>
        <v>105779.38195806803</v>
      </c>
      <c r="V38" s="120">
        <f t="shared" si="15"/>
        <v>106335.17026356801</v>
      </c>
      <c r="W38" s="120">
        <f t="shared" si="15"/>
        <v>580049.09856906801</v>
      </c>
    </row>
    <row r="39" spans="1:23" ht="15" customHeight="1" thickTop="1" thickBot="1" x14ac:dyDescent="0.25">
      <c r="B39" s="3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" customHeight="1" thickBot="1" x14ac:dyDescent="0.25">
      <c r="A40" s="48">
        <v>28</v>
      </c>
      <c r="B40" s="35" t="s">
        <v>131</v>
      </c>
      <c r="C40" s="36">
        <f>('Inputs and Assumptions'!D10*(1-'Inputs and Assumptions'!D7)*(1-'Inputs and Assumptions'!D14)+('Inputs and Assumptions'!D9*'Inputs and Assumptions'!D7))</f>
        <v>6.3950000000000007E-2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" customHeight="1" thickBot="1" x14ac:dyDescent="0.25">
      <c r="B41" s="42"/>
      <c r="C41" s="43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" customHeight="1" thickBot="1" x14ac:dyDescent="0.25">
      <c r="A42" s="48">
        <v>29</v>
      </c>
      <c r="B42" s="35" t="s">
        <v>85</v>
      </c>
      <c r="C42" s="36">
        <f>IRR(D38:W38)</f>
        <v>6.6099409120882635E-2</v>
      </c>
      <c r="D42" s="44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" hidden="1" customHeight="1" thickBot="1" x14ac:dyDescent="0.25">
      <c r="B43" s="42"/>
      <c r="C43" s="43"/>
      <c r="D43" s="44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" hidden="1" customHeight="1" thickBot="1" x14ac:dyDescent="0.25">
      <c r="B44" s="35" t="s">
        <v>87</v>
      </c>
      <c r="C44" s="45">
        <f>NPV(C40,D38:W38)</f>
        <v>22314.40235478093</v>
      </c>
      <c r="D44" s="44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" customHeight="1" x14ac:dyDescent="0.2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5" customHeight="1" x14ac:dyDescent="0.2"/>
    <row r="47" spans="1:23" ht="15" customHeight="1" x14ac:dyDescent="0.2">
      <c r="B47" s="117" t="s">
        <v>133</v>
      </c>
      <c r="C47" s="118">
        <f>(C42*10000)-(C40*10000)</f>
        <v>21.494091208826262</v>
      </c>
    </row>
    <row r="48" spans="1:23" ht="15" customHeight="1" x14ac:dyDescent="0.2"/>
    <row r="49" spans="2:25" s="48" customFormat="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s="48" customFormat="1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s="48" customFormat="1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s="48" customFormat="1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2:25" s="48" customFormat="1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2:25" s="48" customFormat="1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2:25" s="48" customFormat="1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2:25" s="48" customFormat="1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25" s="48" customFormat="1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2:25" s="48" customFormat="1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2:25" s="48" customFormat="1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2:25" s="48" customFormat="1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2:25" s="48" customFormat="1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2:25" s="48" customFormat="1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2:25" s="48" customFormat="1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2:25" s="48" customFormat="1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1" ht="15" customHeight="1" x14ac:dyDescent="0.2"/>
    <row r="66" spans="1:1" ht="15" customHeight="1" x14ac:dyDescent="0.2"/>
    <row r="67" spans="1:1" ht="15" customHeight="1" x14ac:dyDescent="0.2"/>
    <row r="68" spans="1:1" ht="15" customHeight="1" x14ac:dyDescent="0.2"/>
    <row r="69" spans="1:1" ht="15" customHeight="1" x14ac:dyDescent="0.2"/>
    <row r="70" spans="1:1" ht="15" customHeight="1" x14ac:dyDescent="0.2"/>
    <row r="71" spans="1:1" ht="15" customHeight="1" x14ac:dyDescent="0.2"/>
    <row r="72" spans="1:1" s="2" customFormat="1" ht="15" customHeight="1" x14ac:dyDescent="0.2">
      <c r="A72" s="48"/>
    </row>
    <row r="73" spans="1:1" ht="15" customHeight="1" x14ac:dyDescent="0.2"/>
    <row r="74" spans="1:1" ht="15" customHeight="1" x14ac:dyDescent="0.2"/>
    <row r="75" spans="1:1" ht="15" customHeight="1" x14ac:dyDescent="0.2"/>
    <row r="76" spans="1:1" ht="15" customHeight="1" x14ac:dyDescent="0.2"/>
    <row r="77" spans="1:1" ht="15" customHeight="1" x14ac:dyDescent="0.2"/>
    <row r="78" spans="1:1" ht="15" customHeight="1" x14ac:dyDescent="0.2"/>
    <row r="79" spans="1:1" ht="15" customHeight="1" x14ac:dyDescent="0.2"/>
    <row r="80" spans="1:1" ht="15" customHeight="1" x14ac:dyDescent="0.2"/>
    <row r="81" spans="2:25" s="48" customFormat="1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2:25" s="48" customFormat="1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2:25" s="48" customFormat="1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2:25" s="48" customFormat="1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 s="48" customFormat="1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2:25" s="48" customFormat="1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2:25" s="48" customFormat="1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2:25" s="48" customFormat="1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2:25" s="48" customFormat="1" ht="1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2:25" s="48" customFormat="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2:25" s="48" customFormat="1" ht="1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2:25" s="48" customFormat="1" ht="1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2:25" s="48" customFormat="1" ht="1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2:25" s="48" customFormat="1" ht="1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2:25" s="48" customFormat="1" ht="1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2:25" s="48" customFormat="1" ht="1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2:25" s="48" customFormat="1" ht="1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2:25" s="48" customFormat="1" ht="1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2:25" s="48" customFormat="1" ht="1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2:25" s="48" customFormat="1" ht="1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2:25" s="48" customFormat="1" ht="1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2:25" s="48" customFormat="1" ht="1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2:25" s="48" customFormat="1" ht="1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s="48" customFormat="1" ht="1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2:25" s="48" customFormat="1" ht="1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2:25" s="48" customFormat="1" ht="1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2:25" s="48" customFormat="1" ht="1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2:25" s="48" customFormat="1" ht="1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2:25" s="48" customFormat="1" ht="1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2:25" s="48" customFormat="1" ht="1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2:25" s="48" customFormat="1" ht="1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2:25" s="48" customFormat="1" ht="1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1" ht="15" customHeight="1" x14ac:dyDescent="0.2"/>
    <row r="114" spans="1:1" ht="15" customHeight="1" x14ac:dyDescent="0.2"/>
    <row r="115" spans="1:1" ht="15" customHeight="1" x14ac:dyDescent="0.2"/>
    <row r="116" spans="1:1" ht="15" customHeight="1" x14ac:dyDescent="0.2"/>
    <row r="117" spans="1:1" s="2" customFormat="1" ht="15" customHeight="1" x14ac:dyDescent="0.2">
      <c r="A117" s="48"/>
    </row>
    <row r="118" spans="1:1" ht="15" customHeight="1" x14ac:dyDescent="0.2"/>
    <row r="119" spans="1:1" ht="15" customHeight="1" x14ac:dyDescent="0.2"/>
    <row r="120" spans="1:1" ht="15" customHeight="1" x14ac:dyDescent="0.2"/>
    <row r="121" spans="1:1" ht="15" customHeight="1" x14ac:dyDescent="0.2"/>
    <row r="122" spans="1:1" ht="15" customHeight="1" x14ac:dyDescent="0.2"/>
    <row r="123" spans="1:1" ht="15" customHeight="1" x14ac:dyDescent="0.2"/>
    <row r="124" spans="1:1" ht="15" customHeight="1" x14ac:dyDescent="0.2"/>
    <row r="125" spans="1:1" ht="15" customHeight="1" x14ac:dyDescent="0.2"/>
    <row r="126" spans="1:1" ht="15" customHeight="1" x14ac:dyDescent="0.2"/>
    <row r="127" spans="1:1" ht="15" customHeight="1" x14ac:dyDescent="0.2"/>
    <row r="128" spans="1:1" ht="15" customHeight="1" x14ac:dyDescent="0.2"/>
    <row r="129" spans="1:1" ht="15" customHeight="1" x14ac:dyDescent="0.2"/>
    <row r="130" spans="1:1" ht="15" customHeight="1" x14ac:dyDescent="0.2"/>
    <row r="131" spans="1:1" ht="15" customHeight="1" x14ac:dyDescent="0.2"/>
    <row r="132" spans="1:1" s="2" customFormat="1" ht="15" customHeight="1" x14ac:dyDescent="0.2">
      <c r="A132" s="48"/>
    </row>
    <row r="133" spans="1:1" ht="15" customHeight="1" x14ac:dyDescent="0.2"/>
    <row r="134" spans="1:1" ht="15" customHeight="1" x14ac:dyDescent="0.2"/>
    <row r="135" spans="1:1" ht="15" customHeight="1" x14ac:dyDescent="0.2"/>
    <row r="136" spans="1:1" ht="15" customHeight="1" x14ac:dyDescent="0.2"/>
    <row r="137" spans="1:1" ht="15" customHeight="1" x14ac:dyDescent="0.2"/>
    <row r="138" spans="1:1" ht="15" customHeight="1" x14ac:dyDescent="0.2"/>
    <row r="139" spans="1:1" ht="15" customHeight="1" x14ac:dyDescent="0.2"/>
    <row r="140" spans="1:1" ht="15" customHeight="1" x14ac:dyDescent="0.2"/>
    <row r="141" spans="1:1" ht="15" customHeight="1" x14ac:dyDescent="0.2"/>
    <row r="142" spans="1:1" ht="15" customHeight="1" x14ac:dyDescent="0.2"/>
    <row r="143" spans="1:1" ht="15" customHeight="1" x14ac:dyDescent="0.2"/>
    <row r="144" spans="1:1" ht="15" customHeight="1" x14ac:dyDescent="0.2"/>
    <row r="145" spans="4:23" ht="15" customHeight="1" x14ac:dyDescent="0.2"/>
    <row r="146" spans="4:23" ht="15" customHeight="1" x14ac:dyDescent="0.2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4:23" ht="15" customHeight="1" x14ac:dyDescent="0.2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4:23" ht="15" customHeight="1" x14ac:dyDescent="0.2"/>
    <row r="149" spans="4:23" ht="15" customHeight="1" x14ac:dyDescent="0.2"/>
    <row r="150" spans="4:23" ht="15" customHeight="1" x14ac:dyDescent="0.2"/>
  </sheetData>
  <dataConsolidate/>
  <mergeCells count="2">
    <mergeCell ref="B1:M1"/>
    <mergeCell ref="B2:M2"/>
  </mergeCells>
  <conditionalFormatting sqref="D42:D44">
    <cfRule type="cellIs" dxfId="2" priority="1" operator="equal">
      <formula>#REF!</formula>
    </cfRule>
    <cfRule type="cellIs" dxfId="1" priority="2" operator="equal">
      <formula>#REF!</formula>
    </cfRule>
    <cfRule type="cellIs" dxfId="0" priority="3" operator="equal">
      <formula>"""PASS"""</formula>
    </cfRule>
  </conditionalFormatting>
  <pageMargins left="0.7" right="0.7" top="0.75" bottom="0.75" header="0.3" footer="0.3"/>
  <pageSetup paperSize="5" scale="57" orientation="landscape" r:id="rId1"/>
  <ignoredErrors>
    <ignoredError sqref="D23:W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Inputs and Assumptions</vt:lpstr>
      <vt:lpstr>20Y Model</vt:lpstr>
      <vt:lpstr>'20Y Model'!Print_Area</vt:lpstr>
      <vt:lpstr>'Inputs and Assumptions'!Print_Area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Wiese, Brian J</dc:creator>
  <cp:lastModifiedBy>Tormey, Donald [IUB]</cp:lastModifiedBy>
  <cp:lastPrinted>2017-11-14T19:17:45Z</cp:lastPrinted>
  <dcterms:created xsi:type="dcterms:W3CDTF">2016-03-28T14:10:04Z</dcterms:created>
  <dcterms:modified xsi:type="dcterms:W3CDTF">2021-06-15T19:11:34Z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